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10" tabRatio="707" activeTab="11"/>
  </bookViews>
  <sheets>
    <sheet name="Березень 2023" sheetId="1" r:id="rId1"/>
    <sheet name="січень 2023" sheetId="2" r:id="rId2"/>
    <sheet name="Лютий 2023" sheetId="3" r:id="rId3"/>
    <sheet name="квітень 2023" sheetId="4" r:id="rId4"/>
    <sheet name="травень 2023" sheetId="5" r:id="rId5"/>
    <sheet name="червень2023" sheetId="6" r:id="rId6"/>
    <sheet name="липень 2023" sheetId="7" r:id="rId7"/>
    <sheet name="серпень 2023" sheetId="8" r:id="rId8"/>
    <sheet name="вересень 2023" sheetId="9" r:id="rId9"/>
    <sheet name="жовтень2023" sheetId="10" r:id="rId10"/>
    <sheet name="листопад 2023" sheetId="11" r:id="rId11"/>
    <sheet name="грудень 2023" sheetId="12" r:id="rId12"/>
  </sheets>
  <definedNames>
    <definedName name="_xlnm.Print_Titles" localSheetId="0">'Березень 2023'!$8:$11</definedName>
    <definedName name="_xlnm.Print_Titles" localSheetId="8">'вересень 2023'!$8:$11</definedName>
    <definedName name="_xlnm.Print_Titles" localSheetId="3">'квітень 2023'!$8:$11</definedName>
    <definedName name="_xlnm.Print_Titles" localSheetId="6">'липень 2023'!$8:$11</definedName>
    <definedName name="_xlnm.Print_Titles" localSheetId="10">'листопад 2023'!$8:$11</definedName>
    <definedName name="_xlnm.Print_Titles" localSheetId="2">'Лютий 2023'!$8:$11</definedName>
    <definedName name="_xlnm.Print_Titles" localSheetId="7">'серпень 2023'!$8:$11</definedName>
  </definedNames>
  <calcPr fullCalcOnLoad="1"/>
</workbook>
</file>

<file path=xl/sharedStrings.xml><?xml version="1.0" encoding="utf-8"?>
<sst xmlns="http://schemas.openxmlformats.org/spreadsheetml/2006/main" count="4435" uniqueCount="392">
  <si>
    <t>Надійшло у натуральному виразі</t>
  </si>
  <si>
    <t>Надійшло на виконання окремих доручень (на рахунок)</t>
  </si>
  <si>
    <t>від батьків</t>
  </si>
  <si>
    <t>від шефів,підприємств та установ</t>
  </si>
  <si>
    <t>Мета</t>
  </si>
  <si>
    <t>Назва  підприємств, установ та мета</t>
  </si>
  <si>
    <t>Назва підприємств, установ та мета</t>
  </si>
  <si>
    <t>КДНЗ№211</t>
  </si>
  <si>
    <t>КДНЗ№216</t>
  </si>
  <si>
    <t>КДНЗ№220</t>
  </si>
  <si>
    <t>КДНЗ№235</t>
  </si>
  <si>
    <t>КДНЗ№239</t>
  </si>
  <si>
    <t>КДНЗ№260</t>
  </si>
  <si>
    <t>КДНЗ№271</t>
  </si>
  <si>
    <t>Всьго:</t>
  </si>
  <si>
    <t>Всього:</t>
  </si>
  <si>
    <t>КДНЗ№215</t>
  </si>
  <si>
    <t>Сума, грн.</t>
  </si>
  <si>
    <t>від шефів, підприємств та установ</t>
  </si>
  <si>
    <t>ІНФОРМАЦІЯ</t>
  </si>
  <si>
    <t>по відділу освіти виконкому Тернівської районної у місті ради</t>
  </si>
  <si>
    <t>Заклади</t>
  </si>
  <si>
    <t>КЗШ№48</t>
  </si>
  <si>
    <t>КЗШ№55</t>
  </si>
  <si>
    <t xml:space="preserve"> </t>
  </si>
  <si>
    <t>Головний бухгалтер</t>
  </si>
  <si>
    <t>Література</t>
  </si>
  <si>
    <t>КЗШ№45</t>
  </si>
  <si>
    <t>КЗШ № 37</t>
  </si>
  <si>
    <t>Будівельні матеріали</t>
  </si>
  <si>
    <t>Стенди,меблі</t>
  </si>
  <si>
    <t>КЗШ № 116</t>
  </si>
  <si>
    <t>ТОВ "Югвент"</t>
  </si>
  <si>
    <t>Література,будівельні матеріали</t>
  </si>
  <si>
    <t>Миючі  засоби,канцтовари,буд.матеріали</t>
  </si>
  <si>
    <t>Техн.засоби</t>
  </si>
  <si>
    <t>СЮН</t>
  </si>
  <si>
    <t>КЗШ№61</t>
  </si>
  <si>
    <t>КЗШ № 78</t>
  </si>
  <si>
    <t>КЗШ № 105</t>
  </si>
  <si>
    <t>КЗШ № 110</t>
  </si>
  <si>
    <t>КЗШ № 117</t>
  </si>
  <si>
    <t>ДЮСШ № 5</t>
  </si>
  <si>
    <t>СЮТ</t>
  </si>
  <si>
    <t>Разом 0611010</t>
  </si>
  <si>
    <t>виконкому Криворізької</t>
  </si>
  <si>
    <t>міської ради</t>
  </si>
  <si>
    <t>ЦПО "Терни"</t>
  </si>
  <si>
    <t>ДЮСШ №7</t>
  </si>
  <si>
    <t xml:space="preserve">Департамент освіти і науки </t>
  </si>
  <si>
    <t>ЦТКЕ Меридіан</t>
  </si>
  <si>
    <t>ЦДЮТ Сузір'я</t>
  </si>
  <si>
    <t>ЦДЮТ Терноцвіт</t>
  </si>
  <si>
    <t>КГ№76</t>
  </si>
  <si>
    <t>КГ№40</t>
  </si>
  <si>
    <t>КГ № 38</t>
  </si>
  <si>
    <t>КГ № 83</t>
  </si>
  <si>
    <t>Разом  0611021, 0611070, 0615031</t>
  </si>
  <si>
    <t>Разом 0611010;  0611021;  0611070, 0615031</t>
  </si>
  <si>
    <t>Начальник відділу освіти</t>
  </si>
  <si>
    <t>`</t>
  </si>
  <si>
    <t>Євгенія КОЛІСНИК</t>
  </si>
  <si>
    <t>Яковенко Лариса  94 81 02</t>
  </si>
  <si>
    <t>КЗДО №43</t>
  </si>
  <si>
    <t>КЗДО № 54</t>
  </si>
  <si>
    <t>КЗДО № 75</t>
  </si>
  <si>
    <t>КЗДО №115</t>
  </si>
  <si>
    <t>КЗДО № 125</t>
  </si>
  <si>
    <t>КЗДО № 145</t>
  </si>
  <si>
    <t>КЗДО № 149</t>
  </si>
  <si>
    <t>КЗДО № 158</t>
  </si>
  <si>
    <t>КЗДО № 176</t>
  </si>
  <si>
    <t>КГ №27</t>
  </si>
  <si>
    <t>КГ №42</t>
  </si>
  <si>
    <t>КГ №48</t>
  </si>
  <si>
    <t>КГ №50</t>
  </si>
  <si>
    <t>КГ №55</t>
  </si>
  <si>
    <t>КЛ №77</t>
  </si>
  <si>
    <t>КТЛ</t>
  </si>
  <si>
    <t>АГГ</t>
  </si>
  <si>
    <t>HEKS EPER</t>
  </si>
  <si>
    <t>Бензин А95</t>
  </si>
  <si>
    <t>КЗДО № 291</t>
  </si>
  <si>
    <t>КЗДО  № 218</t>
  </si>
  <si>
    <t>Наталія НІКОЛАЄВА</t>
  </si>
  <si>
    <t>Планшет</t>
  </si>
  <si>
    <t>ДОІН ВКМР</t>
  </si>
  <si>
    <t>Криворізький міський центр соціальних служб</t>
  </si>
  <si>
    <t>Стіл та 2 стільця, Килим 130*133, мольберт, крейда кольорова,  кольорові олівці, глина для моделювання, воскові олівці, конструктор "Лего", крейда кольорова; Машина пральна SNDESITOMTWSA 61052 W/UA</t>
  </si>
  <si>
    <t>Машина пральна SNDESITOMTWSA 61052 W/UA</t>
  </si>
  <si>
    <t>Рідке мило, пральний порошок рідкий, пральний порошок універсальний, засіб для миття посуду, рідкий відбілювач, універсальний засіб для миття та дезінфекції всіх видів поверхностей , пакети для сміття, туалетний папір, швабра для миття підлоги, пластикове відро, йоршик для унітазів,гумові/латексні рукавички для прибирання, паперові рушники кухонні, антисептик для рук</t>
  </si>
  <si>
    <t xml:space="preserve"> ПРАТ "ПІВНГЗК"</t>
  </si>
  <si>
    <t>ПРАТ "ІНГЗК"</t>
  </si>
  <si>
    <t>Джерело резервного живлення Дизельний генератор типу EnerSol SKD-10EB</t>
  </si>
  <si>
    <t>щодо надходжень бюджетних установ   за січень 2023 року</t>
  </si>
  <si>
    <t>щодо надходжень бюджетних установ   за лютий 2023 року</t>
  </si>
  <si>
    <t>Спальний мішок 85*100</t>
  </si>
  <si>
    <t>Управління з питань надзвичайних ситуацій та цивільного захисту населення ВККМР</t>
  </si>
  <si>
    <t>Водонагрівач електричний</t>
  </si>
  <si>
    <t xml:space="preserve">Машина пральна SNDESITOMTWSA 61052 W/UA, спальний мішок 85*210; Водонагрівач електричний, павербанк батарея ; Масляний радіатор </t>
  </si>
  <si>
    <t>Водонагрівач електричний; масляний радіатор</t>
  </si>
  <si>
    <t>Спальний мішок 85*100; павербанк батарея; масляний радіатор</t>
  </si>
  <si>
    <t>Спальний мішок 85*100; водонагрівач електричний, павербанк батарея; Масляний радіатор</t>
  </si>
  <si>
    <t>Стіл та 2 стільця, Килим 130*133, мольберт, крейда кольорова,  кольорові олівці, глина для моделювання, воскові олівці, конструктор "Лего", крейда кольорова; Машина пральна SNDESITOMTWSA 61052 W/UA; Спальний мішок 85*210; водонагрівач електричний, павербанк батарея; Масляний радіатор</t>
  </si>
  <si>
    <t>Павербанк батарея; Масляний радіатор</t>
  </si>
  <si>
    <t>Масляний радіатор</t>
  </si>
  <si>
    <t>Рідке мило, пральний порошок рідкий, пральний порошок універсальний дитячий, засіб для миття посуду, рідкий відбілювач, універсальний засіб для миття та дезінфекції всіх видів поверхностей , пакети для сміття, туалетний папір, швабра для миття підлоги, пластикове відро, йоршик для унітазів,гумові/латексні рукавички для прибирання, паперові рушники кухонні, антисептик для рук, маски гігієнічні для обличчя</t>
  </si>
  <si>
    <t>Батарейки</t>
  </si>
  <si>
    <t>ГО Набат Кривбас</t>
  </si>
  <si>
    <t>Серветки вологі, Ліхтарик, Батарейка крона, батарейки</t>
  </si>
  <si>
    <t>Міжнародна організація з міграції</t>
  </si>
  <si>
    <t xml:space="preserve">Електрочайник, Комод пластиковий, Холодильник, Мікрохвильова піч, вішалка для одягу, морозильна камера, </t>
  </si>
  <si>
    <t>ПРАТ "ПІВНГЗК"</t>
  </si>
  <si>
    <t>Дизельне пальне</t>
  </si>
  <si>
    <t>Інформаційний стенд, ламінатор, овочерізка, комод пластиковий, морозильна камера, перфоратор, електродухова шафа, телевізор, дитячий вігвам, електричний дриль-шурупокрут, мишинка шліфувальна; Комплект подушка (40*60см) та ковдра (105*150см) з синтепованим наповнювачем різнокольоровий; Ковдра (105*150см) з синтепованим наповнювачем жовтого кольору; Костюм Святого Миколая дорослий; Декоративний комплект (10 хмаринок, 1 сонечко) блакитного та жовтого кольору</t>
  </si>
  <si>
    <t>Холодильник "ElectroLuX", Пральна машина "Samsung"</t>
  </si>
  <si>
    <t>щодо надходжень бюджетних установ   за березень 2023 року</t>
  </si>
  <si>
    <t>Населення</t>
  </si>
  <si>
    <t>Пісок</t>
  </si>
  <si>
    <t>Батарейки,підгузки,плед,вологі серветки,ліхтарик,павербанк,мило рідке,мило.</t>
  </si>
  <si>
    <t>Батарейки,</t>
  </si>
  <si>
    <t>Серветки вологі, ліхтарик, батарейка крона, батарейки,рушники паперові,папір офісний,підгузки,плед,павербанк,мило рідке,</t>
  </si>
  <si>
    <t>Обруч спортивний</t>
  </si>
  <si>
    <t>Павербанк батарея; Масляний радіатор; Свічки, ковдра, одноразовий посуд, конвектор, сітьовий подовжуввач, складне ліжко з матрацем, подушка, мікрохвильова піч,  термопот для гарячих напоїв, рушник 70*140, ліхтарі;</t>
  </si>
  <si>
    <t>Водонагрівач електричний; масляний радіатор;  Свічки, ковдра, одноразовий посуд, ємкість для води,конвектор, сітьовий подовжуввач, складне ліжко з матрацем, подушка, мікрохвильова піч,  термопот для гарячих напоїв, рушник 70*140, ліхтарі;</t>
  </si>
  <si>
    <t>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t>
  </si>
  <si>
    <t>Масляний радіатор;Свічки, ковдра, одноразовий посуд, ємкість для води, конвектор, сітьовий подовжуввач, складне ліжко з матрацем, подушка, мікрохвильова піч,  термопот для гарячих напоїв, рушник 70*140, ліхтарі;</t>
  </si>
  <si>
    <t>Спальний мішок 85*100;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t>
  </si>
  <si>
    <t>Стіл та 2 стільця, Килим 130*133, мольберт, крейда кольорова,  кольорові олівці, глина для моделювання, воскові олівці, конструктор "Лего", крейда кольорова; Машина пральна SNDESITOMTWSA 61052 W/UA; Спальний мішок 85*210; пральний порошок,рукавиці латексні,машина сушильна,мольберт,крісло-мішок,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t>
  </si>
  <si>
    <t>Водонагрівач електричний; масляний радіатор;  Свічки, ковдра, одноразовий посуд,конвектор, сітьовий подовжуввач, складне ліжко з матрацем, подушка, мікрохвильова піч,  термопот для гарячих напоїв, рушник 70*140, ліхтарі;</t>
  </si>
  <si>
    <t>Машина пральна SNDESITOMTWSA 61052 W/UA, спальний мішок 85*210; Водонагрівач електричний, павербанк батарея ; Масляний радіатор,пральний порошок,рукавички латексні,машина сушильна,крісло-мішок; Свічки, ковдра, одноразовий посуд, конвектор,складне ліжко з матрацем, подушка, термопот для гарячих напоїв, рушник 70*140, ліхтарі;</t>
  </si>
  <si>
    <t>НАБАТ КРИВБАС</t>
  </si>
  <si>
    <t>АCTED</t>
  </si>
  <si>
    <t>Пральний порошок, рідке мило, засіб універсальний, туалетний папір, рукавички, засіб для посуду, губка кухонна, засіб для чищення, білизна, підгузки, прокладки, ганчірка для підлоги, серветки, шкребок, мішки для сміття, чайник, праска, дошка для прасування, каркаси для сушки білизни, драбина універсальна, болгарка, перфератор, подовжувач, набір інструментів, грязезахід на вхід ,пилосос, шурупокрут, мультіметр цифровий, складні стільці, МФУ, картридж, флешка, телевізор Samsung, роутер, бактерицидний рециркулятор, обігрівач</t>
  </si>
  <si>
    <t>Піч польова R32</t>
  </si>
  <si>
    <t>Піч буружуйка польова</t>
  </si>
  <si>
    <t>ТОВ " Стіл Ворк"</t>
  </si>
  <si>
    <t>Серветки вологі, Ліхтарик, Батарейка крона, батарейки; підгузки дитячі, плед б/в, павербанк, мило рідке ,мило</t>
  </si>
  <si>
    <t>Серветки вологі, ліхтарик, батарейка крона, батарейки; мило</t>
  </si>
  <si>
    <t>Генератор Tools</t>
  </si>
  <si>
    <t>ГенераторTools (2500 Вт); паперові рушники, папір офісний, підгузки дитячі, плед, серветки вологі, ліхтарі, павербанк, мило рідке, мило</t>
  </si>
  <si>
    <t>ТОВ Стіл Ворк</t>
  </si>
  <si>
    <t>Виконком ТРМР</t>
  </si>
  <si>
    <t>Мило; батарейки</t>
  </si>
  <si>
    <t>КМЦСС</t>
  </si>
  <si>
    <t>Будівельна піна,плівка прозора, тарпаулін</t>
  </si>
  <si>
    <t>Батарейки; ковдра, шампунь дитячий, зубна щітка, зубна паста ,туалетний папір</t>
  </si>
  <si>
    <t>щодо надходжень бюджетних установ   за квітень 2023 року</t>
  </si>
  <si>
    <t>Філія компанії "Людина в біді"</t>
  </si>
  <si>
    <t>Електричний обігрівач, вимикач автоматичний, вимикач, розетка подвійна, водонагрівач, душова кабіна, зливний бачок, змішувач для кухні, ковдра,комплект постільної білизни, рушники</t>
  </si>
  <si>
    <t>Батарейки; ковдра, шампунь дитячий, зубна щітка, зубна паста ,туалетний папір; сухі шампуні, мило</t>
  </si>
  <si>
    <t>Благодійна організація "Благодійний фонд "СпівДія"</t>
  </si>
  <si>
    <t>Ноутбуки</t>
  </si>
  <si>
    <t>БО "Благодійний фонд "ВОСТОК-СОС"</t>
  </si>
  <si>
    <t>Комплект постільної білизни,подушки, ковдра, рушники махрові,машина пральна, електроводонагрівач, провід, вилка тепсельна, односпальне ліжко + матрац для ліжка</t>
  </si>
  <si>
    <t>Мило</t>
  </si>
  <si>
    <t>Батарейки, мило</t>
  </si>
  <si>
    <t>Батарейки,підгузки,плед,вологі серветки,ліхтарик,павербанк,мило рідке,мило, шампуні</t>
  </si>
  <si>
    <t>машина пральна, електричний подовжувач, бактерицидний рециркулятор, обігрівач, пральний порошок, рідке мило, засіб універсальний, туалетний папір, рукавички, засіб для посуду, губка кухонна, засіб для чищення, білизна, підгузки, прокладки, ганчірка для підлоги, серветки, шкребок, мішки для сміття, мультиварка, чайник, праска, дошка для прасування, каркаси для сушки білизни, ключ трубний,  драбина універсальна,шліфмашина, перфоратор, подовжувач на катушці,подовжувач, набір інструментів, грязезахід на вхід ,пилосос, шурупокрут, мультиметр цифровий, складні стільці, МФУ, картридж, флешка,роутер, холодильник BEKO, папір офісний, скринька морозильна.</t>
  </si>
  <si>
    <t>Громадська організація "Проліска"</t>
  </si>
  <si>
    <t>Матрац, рушники, кухонний гарнітур</t>
  </si>
  <si>
    <t>ГенераторTools (2500 Вт); паперові рушники, папір офісний, підгузки дитячі, плед, серветки вологі, ліхтарі, павербанк, мило рідке, мило,папір офісний</t>
  </si>
  <si>
    <t>Генератор Tools; підгузки дитячі, плед б/в, серветки вологі, ліхтарик, павербанк, мило, мило рідке</t>
  </si>
  <si>
    <t>Серветки вологі, Ліхтарик, Батарейка крона, батарейки; підгузки дитячі, плед б/в, павербанк, мило рідке ,мило; паперові рушники, папір офісний</t>
  </si>
  <si>
    <t>Генератор Gucbir GJB-9500-E, Casoline, 1 Phase, 8000W, Electric Start</t>
  </si>
  <si>
    <t>Водонагрівач електричний; Генератор Gucbir GJB-9500-E, Casoline, 1 Phase, 8000W, Electric Start</t>
  </si>
  <si>
    <t>Будівельна піна,плівка прозора, тарпаулін; Генератор Gucbir GJB-9500-E, Casoline, 1 Phase, 8000W, Electric Start</t>
  </si>
  <si>
    <t>Спальний мішок 85*100;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 Генератор Gucbir GJB-9500-E, Casoline, 1 Phase, 8000W, Electric Start</t>
  </si>
  <si>
    <t>Стіл та 2 стільця, Килим 130*133, мольберт, крейда кольорова,  кольорові олівці, глина для моделювання, воскові олівці, конструктор "Лего", крейда кольорова; Машина пральна SNDESITOMTWSA 61052 W/UA; Спальний мішок 85*210; пральний порошок,рукавиці латексні,машина сушильна,мольберт,крісло-мішок,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 Генератор Disel Power 11000ASE; Обігрівач MASTER; перехідне кільце, гнучка труба, кабель</t>
  </si>
  <si>
    <t>Машина пральна SNDESITOMTWSA 61052 W/UA, спальний мішок 85*210; Водонагрівач електричний, павербанк батарея ; Масляний радіатор,пральний порошок,рукавички латексні,машина сушильна,крісло-мішок; Свічки, ковдра, одноразовий посуд, конвектор,складне ліжко з матрацем, подушка, термопот для гарячих напоїв, рушник 70*140, ліхтарі; Генератор Disel Power 11000 ASE; Обігрівач MASTER, перехідне кільце, гнучка труба, кабель</t>
  </si>
  <si>
    <t>Масляний радіатор;Свічки, ковдра, одноразовий посуд, ємкість для води, конвектор, сітьовий подовжуввач, складне ліжко з матрацем, подушка, мікрохвильова піч,  термопот для гарячих напоїв, рушник 70*140, ліхтарі; Обігрівач MASTER, перехідне кільце, гнучка труба, кабель</t>
  </si>
  <si>
    <t>щодо надходжень бюджетних установ  за травень  2023 року</t>
  </si>
  <si>
    <t>Планшет Lenovo, Хромбук Samsung</t>
  </si>
  <si>
    <t>Електрочайник, Комод пластиковий, Холодильник, Мікрохвильова піч, вішалка для одягу, морозильна камера; Обігрівач електричний, координаційний набір керівника; Матеріали для сантехніки та будівельні матеріали; Чайник електричний, перегородка кімнатна, набір для дитячої кімнати; Промислова електрична плита, промислова картофелечистка, промислова овочерізка</t>
  </si>
  <si>
    <t>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Хромбук Samsung</t>
  </si>
  <si>
    <t>Управління з питань надзвичайних ситуацій виконкому КМР</t>
  </si>
  <si>
    <t>Маска медична, рукавички медичні, дез.засіб для обробки рук</t>
  </si>
  <si>
    <t>Доріжка килимова 2,0*6,0, Тюль "Зефір" 7,0*2,7, туалетний папір, пакети для сміття</t>
  </si>
  <si>
    <t>Генератор Gucbir GJB-9500-E, Casoline, 1 Phase, 8000W, Electric Start; Інституційний гігієнічний набір для дитячих садків ( тип С для 30 осіб, протягом 3 місців)</t>
  </si>
  <si>
    <t>Водонагрівач електричний; Генератор Gucbir GJB-9500-E, Casoline, 1 Phase, 8000W, Electric Start; Інституційний гігієнічний набір для дитячих садків ( тип С для 30 осіб, протягом 3 місців)</t>
  </si>
  <si>
    <t>Машина пральна SNDESITOMTWSA 61052 W/UA, спальний мішок 85*210; Водонагрівач електричний, павербанк батарея ; Масляний радіатор,пральний порошок,рукавички латексні,машина сушильна,крісло-мішок; Свічки, ковдра, одноразовий посуд, конвектор,складне ліжко з матрацем, подушка, термопот для гарячих напоїв, рушник 70*140, ліхтарі; Генератор Disel Power 11000 ASE; Обігрівач MASTER, перехідне кільце, гнучка труба, кабель; Планшет Lenovo; Інституційний гігієнічний набір для шкіл  ( тип S для 50 осіб, протягом 3 місців)</t>
  </si>
  <si>
    <t>Генератор Gucbir GJB-9500-E, Casoline, 1 Phase, 8000W, Electric Start; Хромбук Samsung; Інституційний гігієнічний набір для шкіл  ( тип S для 50 осіб, протягом 3 місців)</t>
  </si>
  <si>
    <t>Водонагрівач електричний; масляний радіатор;  Свічки, ковдра, одноразовий посуд,конвектор,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t>
  </si>
  <si>
    <t>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Водяний фільтр; Планшет Lenovo, Хромбук Samsung; Інституційний гігієнічний набір для шкіл  ( тип S для 50 осіб, протягом 3 місців)</t>
  </si>
  <si>
    <t>Спальний мішок 85*100;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ліхтарі;Планшет Lenovo, Хромбук Samsung; Інституційний гігієнічний набір для шкіл  ( тип S для 50 осіб, протягом 3 місців)</t>
  </si>
  <si>
    <t>Спальний мішок 85*100;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 Генератор Gucbir GJB-9500-E, Casoline, 1 Phase, 8000W, Electric Start; Планшет Lenovo, Хромбук Samsung; Сигнальна сирена С-28; Інституційний гігієнічний набір для шкіл  ( тип S для 50 осіб, протягом 3 місців)</t>
  </si>
  <si>
    <t>Стіл та 2 стільця, Килим 130*133, мольберт, крейда кольорова,  кольорові олівці, глина для моделювання, воскові олівці, конструктор "Лего", крейда кольорова; Машина пральна SNDESITOMTWSA 61052 W/UA; Спальний мішок 85*210; пральний порошок,рукавиці латексні,машина сушильна,мольберт,крісло-мішок,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 Генератор Disel Power 11000ASE; Обігрівач MASTER; перехідне кільце, гнучка труба, кабель; Планшет Lenovo, Хромбук Samsung; Інституційний гігієнічний набір для шкіл  ( тип S для 50 осіб, протягом 3 місців)</t>
  </si>
  <si>
    <t>Павербанк батарея; Масляний радіатор; Свічки, ковдра, одноразовий посуд, конвектор, сітьовий подовжуввач, складне ліжко з матрацем, подушка, мікрохвильова піч,  термопот для гарячих напоїв, рушник 70*140, ліхтарі; Планшет Lenovo; Спальний мішок 85*210; Інституційний гігієнічний набір для шкіл  ( тип S для 50 осіб, протягом 3 місців)</t>
  </si>
  <si>
    <t>Масляний радіатор;Свічки, ковдра, одноразовий посуд, ємкість для води, конвектор, сітьовий подовжуввач, складне ліжко з матрацем, подушка, мікрохвильова піч,  термопот для гарячих напоїв, рушник 70*140, ліхтарі; Обігрівач MASTER, перехідне кільце, гнучка труба, кабель; Планшет Lenovo, Хромбук Samsung; Інституційний гігієнічний набір для шкіл  ( тип S для 50 осіб, протягом 3 місців)</t>
  </si>
  <si>
    <t>Водонагрівач електричний; масляний радіатор;  Свічки, ковдра, одноразовий посуд, ємкість для води,конвектор,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t>
  </si>
  <si>
    <t>Генератор Gucbir GJB-9500-E, Casoline, 1 Phase, 8000W, Electric Start; Інституційний гігієнічний набір для шкіл  ( тип S для 50 осіб, протягом 3 місців)</t>
  </si>
  <si>
    <t>щодо надходжень бюджетних установ  за червень  2023 року</t>
  </si>
  <si>
    <t>Масло для газонокосарки, струна покосна</t>
  </si>
  <si>
    <t>Маслоя для двотактних двигунів</t>
  </si>
  <si>
    <t xml:space="preserve">Мастило для двоконтиктних двигунів </t>
  </si>
  <si>
    <t>Пісок, плитка керамічна,масло моторне</t>
  </si>
  <si>
    <t>Цемент, пісок</t>
  </si>
  <si>
    <t>Груповий набір Child Kit, індивідуальні набори</t>
  </si>
  <si>
    <t>ЦПРПП КМР</t>
  </si>
  <si>
    <t>література</t>
  </si>
  <si>
    <t>щодо надходжень бюджетних установ  за липень  2023 року</t>
  </si>
  <si>
    <t>Генератор Gucbir GJB-9500-E, Casoline, 1 Phase, 8000W, Electric Start; Інституційний гігієнічний набір для дитячих садків ( тип С для 30 осіб, протягом 3 місців); листівки</t>
  </si>
  <si>
    <t>ВСП КРВДУ Дніпро.ОЦКПХ МОЗ</t>
  </si>
  <si>
    <t>Бактерицидні таблетки для води</t>
  </si>
  <si>
    <t>Генератор Gucbir GJB-9500-E, Casoline, 1 Phase, 8000W, Electric Start; Інституційний гігієнічний набір для дитячих садків ( тип С для 30 осіб, протягом 3 місців); контейнер для води; листівки</t>
  </si>
  <si>
    <t>Контейнер для води, листівки</t>
  </si>
  <si>
    <t>ЮНІСЕФ</t>
  </si>
  <si>
    <t>Контейнер для води,листівки</t>
  </si>
  <si>
    <t>Листівки</t>
  </si>
  <si>
    <t>Генератор Gucbir GJB-9500-E, Casoline, 1 Phase, 8000W, Electric Start; контейнер для води; листівки</t>
  </si>
  <si>
    <t>контейнер для води; листівки</t>
  </si>
  <si>
    <t>листівки</t>
  </si>
  <si>
    <t>Машина пральна SNDESITOMTWSA 61052 W/UA, спальний мішок 85*210; Водонагрівач електричний, павербанк батарея ; Масляний радіатор,пральний порошок,рукавички латексні,машина сушильна,крісло-мішок; Свічки, ковдра, одноразовий посуд, конвектор,складне ліжко з матрацем, подушка, термопот для гарячих напоїв, рушник 70*140, ліхтарі; Генератор Disel Power 11000 ASE; Обігрівач MASTER, перехідне кільце, гнучка труба, кабель; Планшет Lenovo; Інституційний гігієнічний набір для шкіл  ( тип S для 50 осіб, протягом 3 місців); контейнер для води, ноутбуки, листівки</t>
  </si>
  <si>
    <t>Планшет Lenovo, Хромбук Samsung; листівки, ноутбуки; контейнер для води</t>
  </si>
  <si>
    <t>Генератор Gucbir GJB-9500-E, Casoline, 1 Phase, 8000W, Electric Start; Хромбук Samsung; Інституційний гігієнічний набір для шкіл  ( тип S для 50 осіб, протягом 3 місців); листівки, ноутбуки, контейнер для води</t>
  </si>
  <si>
    <t>Водонагрівач електричний; масляний радіатор;  Свічки, ковдра, одноразовий посуд,конвектор,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листівки, контейнер для води, роутер</t>
  </si>
  <si>
    <t>Спальний мішок 85*100;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ліхтарі;Планшет Lenovo, Хромбук Samsung; Інституційний гігієнічний набір для шкіл  ( тип S для 50 осіб, протягом 3 місців); ноутбуки, листівки, контейнер для води</t>
  </si>
  <si>
    <t>Генератор Gucbir GJB-9500-E, Casoline, 1 Phase, 8000W, Electric Start; Хромбук Samsung; Інституційний гігієнічний набір для шкіл  ( тип S для 50 осіб, протягом 3 місців); листівки, контейнер для води</t>
  </si>
  <si>
    <t>Спальний мішок 85*100;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 Генератор Gucbir GJB-9500-E, Casoline, 1 Phase, 8000W, Electric Start; Планшет Lenovo, Хромбук Samsung; Сигнальна сирена С-28; Інституційний гігієнічний набір для шкіл  ( тип S для 50 осіб, протягом 3 місців); ноутбуки, роутер, листівки</t>
  </si>
  <si>
    <t>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Водяний фільтр; Планшет Lenovo, Хромбук Samsung; Інституційний гігієнічний набір для шкіл  ( тип S для 50 осіб, протягом 3 місців); контейнер для води, листівки, ноутбуки; роутер</t>
  </si>
  <si>
    <t>Стіл та 2 стільця, Килим 130*133, мольберт, крейда кольорова,  кольорові олівці, глина для моделювання, воскові олівці, конструктор "Лего", крейда кольорова; Машина пральна SNDESITOMTWSA 61052 W/UA; Спальний мішок 85*210; пральний порошок,рукавиці латексні,машина сушильна,мольберт,крісло-мішок,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 Генератор Disel Power 11000ASE; Обігрівач MASTER; перехідне кільце, гнучка труба, кабель; Планшет Lenovo, Хромбук Samsung; Інституційний гігієнічний набір для шкіл  ( тип S для 50 осіб, протягом 3 місців); ноутбуки, листівки</t>
  </si>
  <si>
    <t>Павербанк батарея; Масляний радіатор; Свічки, ковдра, одноразовий посуд, конвектор, сітьовий подовжуввач, складне ліжко з матрацем, подушка, мікрохвильова піч,  термопот для гарячих напоїв, рушник 70*140, ліхтарі; Планшет Lenovo; Спальний мішок 85*210; Інституційний гігієнічний набір для шкіл  ( тип S для 50 осіб, протягом 3 місців); контейнер для води, ноутбуки, роутер, листівки</t>
  </si>
  <si>
    <t>Масляний радіатор;Свічки, ковдра, одноразовий посуд, ємкість для води, конвектор, сітьовий подовжуввач, складне ліжко з матрацем, подушка, мікрохвильова піч,  термопот для гарячих напоїв, рушник 70*140, ліхтарі; Обігрівач MASTER, перехідне кільце, гнучка труба, кабель; Планшет Lenovo, Хромбук Samsung; Інституційний гігієнічний набір для шкіл  ( тип S для 50 осіб, протягом 3 місців); контейнер для води, ноутбуки, листівки</t>
  </si>
  <si>
    <t>Генератор Gucbir GJB-9500-E, Casoline, 1 Phase, 8000W, Electric Start; контейнер для води; листівки; ноутбуки</t>
  </si>
  <si>
    <t>Генератор Gucbir GJB-9500-E, Casoline, 1 Phase, 8000W, Electric Start; контейнер для води, листівки, ноутбуки</t>
  </si>
  <si>
    <t>Водонагрівач електричний; масляний радіатор;  Свічки, ковдра, одноразовий посуд, ємкість для води,конвектор,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ноутбуки, роутер, листівки</t>
  </si>
  <si>
    <t>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контейнер для води, ноутбуки, листівки</t>
  </si>
  <si>
    <t>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Хромбук Samsung; контейнер для води, ноутбуки, листівки</t>
  </si>
  <si>
    <t>Генератор Gucbir GJB-9500-E, Casoline, 1 Phase, 8000W, Electric Start; Інституційний гігієнічний набір для шкіл  ( тип S для 50 осіб, протягом 3 місців); ноутбуки, контейнер для води, листівки</t>
  </si>
  <si>
    <t>Водонагрівач електричний; масляний радіатор;  Свічки, ковдра, одноразовий посуд, ємкість для води,конвектор,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ноутбуки, листівки, роутер, контейнер для води</t>
  </si>
  <si>
    <t>Водонагрівач електричний; Генератор Gucbir GJB-9500-E, Casoline, 1 Phase, 8000W, Electric Start; Інституційний гігієнічний набір для дитячих садків ( тип С для 30 осіб, протягом 3 місців); листівки</t>
  </si>
  <si>
    <t>Спальний мішок 85*100, листівки</t>
  </si>
  <si>
    <t>Будівельна піна,плівка прозора, тарпаулін; Генератор Gucbir GJB-9500-E, Casoline, 1 Phase, 8000W, Electric Start; листівки</t>
  </si>
  <si>
    <t>Генератор Gucbir GJB-9500-E, Casoline, 1 Phase, 8000W, Electric Start; листівки</t>
  </si>
  <si>
    <t>щодо надходжень бюджетних установ  за серпень 2023 року</t>
  </si>
  <si>
    <t>Пральна машина INDESIT OMTWSA 61052; Піч мікрохвильова, поверхня електрична 4комф.</t>
  </si>
  <si>
    <t>Відділ освіти Саксаганської районної у місті ради</t>
  </si>
  <si>
    <t>Порохотяг Gorenje</t>
  </si>
  <si>
    <t>Відділ освіти Покровської  районної у місті ради</t>
  </si>
  <si>
    <t>Генератор CATERPILLAR PRIME ECW06221</t>
  </si>
  <si>
    <t>Управління верховного комісара ООН у справах біженців</t>
  </si>
  <si>
    <t>ACTED</t>
  </si>
  <si>
    <t>Generator Karcher PGG 6/1 gasoline,230V,electrostart,max 5,5 kW;Мило рідке, порошок пральний, засіб для миття посуду, рідкий відбілювач, очищувач поверхні, папір туалетний, мішки для сміття ,швабра, відро пластикове, щітка для чищення туалету, рушник паперовий, дезінфікуючий засіб для рук, маски для обличчя, багаторазові пластикові пакети, короб картонний</t>
  </si>
  <si>
    <t>шафа кухонна, тумба кухонна, картина соморобна, коса.</t>
  </si>
  <si>
    <t>щодо надходжень бюджетних установ  за вересень 2023 року</t>
  </si>
  <si>
    <t>Машина пральна SNDESITOMTWSA 61052 W/UA, спальний мішок 85*210; Водонагрівач електричний, павербанк батарея ; Масляний радіатор,пральний порошок,рукавички латексні,машина сушильна,крісло-мішок; Свічки, ковдра, одноразовий посуд, конвектор,складне ліжко з матрацем, подушка, термопот для гарячих напоїв, рушник 70*140, ліхтарі; Генератор Disel Power 11000 ASE; Обігрівач MASTER, перехідне кільце, гнучка труба, кабель; Планшет Lenovo; Інституційний гігієнічний набір для шкіл  ( тип S для 50 осіб, протягом 3 місців); контейнер для води, ноутбуки, листівки; Дошка 25*100*4000мм; фанера</t>
  </si>
  <si>
    <t>Масло STIHL</t>
  </si>
  <si>
    <t>Генератор Gucbir GJB-9500-E, Casoline, 1 Phase, 8000W, Electric Start; Хромбук Samsung; Інституційний гігієнічний набір для шкіл  ( тип S для 50 осіб, протягом 3 місців); листівки, ноутбуки, контейнер для води; Дошка 25*100*4000мм; фанера</t>
  </si>
  <si>
    <t>Водонагрівач електричний; масляний радіатор;  Свічки, ковдра, одноразовий посуд,конвектор,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листівки, контейнер для води, роутер;Дошка 25*100*4000мм; фанера</t>
  </si>
  <si>
    <t>Генератор Gucbir GJB-9500-E, Casoline, 1 Phase, 8000W, Electric Start; Хромбук Samsung; Інституційний гігієнічний набір для шкіл  ( тип S для 50 осіб, протягом 3 місців); листівки, контейнер для води;Дошка 25*100*4000мм; фанера</t>
  </si>
  <si>
    <t>Телевізор "Braviс", Телевізор "Liberton", масло для бензокосарки</t>
  </si>
  <si>
    <t>Генератор Gucbir GJB-9500-E, Casoline, 1 Phase, 8000W, Electric Start; контейнер для води, листівки, ноутбуки; Дошка 25*100*4000мм; фанера</t>
  </si>
  <si>
    <t>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контейнер для води, ноутбуки, листівки; Ноутбук Dell Latitude E5470+power cable</t>
  </si>
  <si>
    <t>Водонагрівач електричний; масляний радіатор;  Свічки, ковдра, одноразовий посуд, ємкість для води,конвектор,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ноутбуки, роутер, листівки; Дошка 25*100*4000мм; фанера</t>
  </si>
  <si>
    <t>Література; Індивідуальний набір для вчителя (ЮНІСЕФ)</t>
  </si>
  <si>
    <t>Генератор Gucbir GJB-9500-E, Casoline, 1 Phase, 8000W, Electric Start; Інституційний гігієнічний набір для дитячих садків ( тип С для 30 осіб, протягом 3 місців); контейнер для води; листівки; Дошка 25*100*4000мм; фанера</t>
  </si>
  <si>
    <t xml:space="preserve"> набір спортивний Recreatiov kit 2016</t>
  </si>
  <si>
    <t>UNICEF</t>
  </si>
  <si>
    <t>Контейнер для води, листівки; Дошка 25*100*4000мм; фанера</t>
  </si>
  <si>
    <t>Ваги електронні, крісло офісне, кухонний гарнітур, дитячий кутовтй диванчик, гучномовець, лежаки для укриття з піддонів, акваріум, набір глиняного посулу; жилет дитячий хутровий, жилет дорослий хутровий, костюм дорослий  український, костюм дитячий український, тюль, матрац дитячий , подушка-сидіння для укриття синтепонова, подушка синтепонова</t>
  </si>
  <si>
    <t>Водонагрівач електричний; Генератор Gucbir GJB-9500-E, Casoline, 1 Phase, 8000W, Electric Start; Інституційний гігієнічний набір для дитячих садків ( тип С для 30 осіб, протягом 3 місців); листівки; Дошка 25*100*4000мм; фанера</t>
  </si>
  <si>
    <t>Еліптичний тренажер ЕТ-742F2</t>
  </si>
  <si>
    <t>Будівельна піна,плівка прозора, тарпаулін;листівки</t>
  </si>
  <si>
    <t xml:space="preserve">Контейнер для води,листівки;  Генератор Gucbir GJB-9500-E, Casoline, 1 Phase, 8000W, Electric Start; </t>
  </si>
  <si>
    <t>Стіл та 2 стільця, Килим 130*133, мольберт, крейда кольорова,  кольорові олівці, глина для моделювання, воскові олівці, конструктор "Лего", крейда кольорова; Машина пральна SNDESITOMTWSA 61052 W/UA; Спальний мішок 85*210; пральний порошок,рукавиці латексні,машина сушильна,мольберт,крісло-мішок,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 Обігрівач MASTER; перехідне кільце, гнучка труба, кабель; Планшет Lenovo, Хромбук Samsung; Інституційний гігієнічний набір для шкіл  ( тип S для 50 осіб, протягом 3 місців); ноутбуки, листівки; Дошка 25*100*4000мм; фанера</t>
  </si>
  <si>
    <t xml:space="preserve">Контейнер для води, листівки; Генератор Disel Power 11000ASE; </t>
  </si>
  <si>
    <t>Обігрівач електричний (промисловий тепловентилятор BGP 1606-03 3000W)</t>
  </si>
  <si>
    <t>Маска медична, рукавички медичні, дез.засіб для обробки рук; Обігрівач електричний (промисловий тепловентилятор BGP 1606-03 3000W)</t>
  </si>
  <si>
    <t>щодо надходжень бюджетних установ  за жовтень 2023 року</t>
  </si>
  <si>
    <t>Машина пральна SNDESITOMTWSA 61052 W/UA, спальний мішок 85*210; Водонагрівач електричний, павербанк батарея ; Масляний радіатор,пральний порошок,рукавички латексні,машина сушильна,крісло-мішок; Свічки, ковдра, одноразовий посуд, конвектор,складне ліжко з матрацем, подушка, термопот для гарячих напоїв, рушник 70*140, ліхтарі; Генератор Disel Power 11000 ASE; Обігрівач MASTER, перехідне кільце, гнучка труба, кабель; Планшет Lenovo; Інституційний гігієнічний набір для шкіл  ( тип S для 50 осіб, протягом 3 місців); контейнер для води, ноутбуки, листівки; Дошка 25*100*4000мм; фанера; Рюкзак із канцелярськими наборами для учнів 1-4 класів.</t>
  </si>
  <si>
    <t>Генератор Gucbir GJB-9500-E, Casoline, 1 Phase, 8000W, Electric Start; Хромбук Samsung; Інституційний гігієнічний набір для шкіл  ( тип S для 50 осіб, протягом 3 місців); листівки, ноутбуки, контейнер для води; Дошка 25*100*4000мм; фанера; Аптечка класу А; Рюкзак із канцелярськими наборами для учнів 1-4 класів; Ковдра</t>
  </si>
  <si>
    <t>Водонагрівач електричний; масляний радіатор;  Свічки, ковдра, одноразовий посуд,конвектор,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листівки, контейнер для води, роутер;Дошка 25*100*4000мм; фанера; Рюкзаки із канцелярським наборами для учнів 1-4 класів</t>
  </si>
  <si>
    <t>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Водяний фільтр; Планшет Lenovo, Хромбук Samsung; Інституційний гігієнічний набір для шкіл  ( тип S для 50 осіб, протягом 3 місців); контейнер для води, листівки, ноутбуки; роутер; Рюкзак із канцелярськими наборами для учнів 1-4 класів</t>
  </si>
  <si>
    <t>Спальний мішок 85*100;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ліхтарі;Планшет Lenovo, Хромбук Samsung; Інституційний гігієнічний набір для шкіл  ( тип S для 50 осіб, протягом 3 місців); ноутбуки, листівки, контейнер для води; Рюкзаки із канцелярськми  наборами для учнів 1-4 класів</t>
  </si>
  <si>
    <t>Генератор Gucbir GJB-9500-E, Casoline, 1 Phase, 8000W, Electric Start; Хромбук Samsung; Інституційний гігієнічний набір для шкіл  ( тип S для 50 осіб, протягом 3 місців); листівки, контейнер для води;Дошка 25*100*4000мм; фанера; Рюкзаки із канцелярськими наборами для учнів 1-4 класів</t>
  </si>
  <si>
    <t>Благодійна організація "Благодійний фонд "Посмішка ЮА"</t>
  </si>
  <si>
    <t>Монітор; Комп'ютер; проектор; миша оптична, екран настінний, презентер, клавіатура, колонки, фільтр мережевий, ноутбуки, гарнітура, роутер, БФП лазерний, патчкорд, комп'ютерні програми, фліпчарт</t>
  </si>
  <si>
    <t>Спальний мішок 85*100;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 Генератор Gucbir GJB-9500-E, Casoline, 1 Phase, 8000W, Electric Start; Планшет Lenovo, Хромбук Samsung; Сигнальна сирена С-28; Інституційний гігієнічний набір для шкіл  ( тип S для 50 осіб, протягом 3 місців); ноутбуки, роутер, листівки; Аптечка класу А; Рюкзаки із канцелярськими наборами для учнів 1-4 класів; Ковдра</t>
  </si>
  <si>
    <t>Стіл та 2 стільця, Килим 130*133, мольберт, крейда кольорова,  кольорові олівці, глина для моделювання, воскові олівці, конструктор "Лего", крейда кольорова; Машина пральна SNDESITOMTWSA 61052 W/UA; Спальний мішок 85*210; пральний порошок,рукавиці латексні,машина сушильна,мольберт,крісло-мішок,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 Обігрівач MASTER; перехідне кільце, гнучка труба, кабель; Планшет Lenovo, Хромбук Samsung; Інституційний гігієнічний набір для шкіл  ( тип S для 50 осіб, протягом 3 місців); ноутбуки, листівки; Дошка 25*100*4000мм; фанера; рюкзаки із канцелярськими наборами для учнів 1-4 класів</t>
  </si>
  <si>
    <t>Будівельні матеріали; меблева стінка</t>
  </si>
  <si>
    <t>Павербанк батарея; Масляний радіатор; Свічки, ковдра, одноразовий посуд, конвектор, сітьовий подовжуввач, складне ліжко з матрацем, подушка, мікрохвильова піч,  термопот для гарячих напоїв, рушник 70*140, ліхтарі; Планшет Lenovo; Спальний мішок 85*210; Інституційний гігієнічний набір для шкіл  ( тип S для 50 осіб, протягом 3 місців); контейнер для води, ноутбуки, роутер, листівки; Рюкзаки із канцелярськими наборами для учнів 1-4 класів</t>
  </si>
  <si>
    <t>Масляний радіатор;Свічки, ковдра, одноразовий посуд, ємкість для води, конвектор, сітьовий подовжуввач, складне ліжко з матрацем, подушка, мікрохвильова піч,  термопот для гарячих напоїв, рушник 70*140, ліхтарі; Обігрівач MASTER, перехідне кільце, гнучка труба, кабель; Планшет Lenovo, Хромбук Samsung; Інституційний гігієнічний набір для шкіл  ( тип S для 50 осіб, протягом 3 місців); контейнер для води, ноутбуки, листівки; Рюкзаки із канцелярськими наборами для учнів 1-4 класів</t>
  </si>
  <si>
    <t>Генератор Gucbir GJB-9500-E, Casoline, 1 Phase, 8000W, Electric Start; контейнер для води, листівки, ноутбуки; Дошка 25*100*4000мм; фанера; аптечка класу А; Рюкзаки із канцелярськими наборами для учнів 1-4 класів; ковдри</t>
  </si>
  <si>
    <t>Водонагрівач електричний; масляний радіатор;  Свічки, ковдра, одноразовий посуд, ємкість для води,конвектор,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ноутбуки, роутер, листівки; Дошка 25*100*4000мм; фанера;  Рюкзаки із канцелярськими наборами для учнів 1-4 класів</t>
  </si>
  <si>
    <t>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Хромбук Samsung; контейнер для води, ноутбуки, листівки;  Рюкзаки із канцелярськими наборами для учнів 1-4 класів</t>
  </si>
  <si>
    <t>Генератор Gucbir GJB-9500-E, Casoline, 1 Phase, 8000W, Electric Start; Інституційний гігієнічний набір для шкіл  ( тип S для 50 осіб, протягом 3 місців); ноутбуки, контейнер для води, листівки; ковдра;Аптечка класу А; Рюкзаки із канцелярськими наборами для учнів 1-4 класів;</t>
  </si>
  <si>
    <t>Водонагрівач електричний; масляний радіатор;  Свічки, ковдра, одноразовий посуд, ємкість для води,конвектор,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ноутбуки, листівки, роутер, контейнер для води;  Рюкзаки із канцелярськими наборами для учнів 1-4 класів</t>
  </si>
  <si>
    <t>Водонагрівач електричний; Генератор Gucbir GJB-9500-E, Casoline, 1 Phase, 8000W, Electric Start; Інституційний гігієнічний набір для дитячих садків ( тип С для 30 осіб, протягом 3 місців); листівки; Дошка 25*100*4000мм; фанера; Аптечка класу А;  Контейнер для зберігання води 1000л</t>
  </si>
  <si>
    <t>Генератор Gucbir GJB-9500-E, Casoline, 1 Phase, 8000W, Electric Start; Інституційний гігієнічний набір для дитячих садків ( тип С для 30 осіб, протягом 3 місців); листівки; Аптечка класу А; Ковдра</t>
  </si>
  <si>
    <t>Вапно</t>
  </si>
  <si>
    <t>щодо надходжень бюджетних установ  за листопад 2023 року</t>
  </si>
  <si>
    <t>Масло STIHL; Стенд "Атестація педагогічних працівників"</t>
  </si>
  <si>
    <t>Генератор дизельний  KRAFTWELE SDG 16000S 3F</t>
  </si>
  <si>
    <t>ДОІН ВКМР (меморандум)</t>
  </si>
  <si>
    <t>Машина пральна SNDESITOMTWSA 61052 W/UA, спальний мішок 85*210; Водонагрівач електричний, павербанк батарея ; Масляний радіатор,пральний порошок,рукавички латексні,машина сушильна,крісло-мішок; Свічки, ковдра, одноразовий посуд, конвектор,складне ліжко з матрацем, подушка, термопот для гарячих напоїв, рушник 70*140, ліхтарі; Генератор Disel Power 11000 ASE; Обігрівач MASTER, перехідне кільце, гнучка труба, кабель; Планшет Lenovo; Інституційний гігієнічний набір для шкіл  ( тип S для 50 осіб, протягом 3 місців); контейнер для води, ноутбуки, листівки; Дошка 25*100*4000мм; фанера; Рюкзак із канцелярськими наборами для учнів 1-4 класів; Дитячий набір для подорожей, павербанк, таблетки для очищення води, складний контейнер для води 10л, сімейний набір, гігієнічні засоби, український гігієнічний набір</t>
  </si>
  <si>
    <t>Телевізор BLAUPUNKT</t>
  </si>
  <si>
    <t>Генератор Gucbir GJB-9500-E, Casoline, 1 Phase, 8000W, Electric Start; Хромбук Samsung; Інституційний гігієнічний набір для шкіл  ( тип S для 50 осіб, протягом 3 місців); листівки, ноутбуки, контейнер для води; Дошка 25*100*4000мм; фанера; Аптечка класу А; Рюкзак із канцелярськими наборами для учнів 1-4 класів; Ковдра; Гігієнічні засоби, укр.гігієнічні набори, таблетки для очищення води, складний контейнер для води 10л, сімейний набір, підгузки</t>
  </si>
  <si>
    <t xml:space="preserve">Водонагрівач електричний; масляний радіатор;  Свічки, ковдра, одноразовий посуд,конвектор,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листівки, контейнер для води, роутер;Дошка 25*100*4000мм; фанера; Рюкзаки із канцелярським наборами для учнів 1-4 класів; укр.гігієнічний набір, гігієнічні засоби, таблетки для очищення води, складний контейнер для води 10л, сімейний набір. </t>
  </si>
  <si>
    <t xml:space="preserve">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Водяний фільтр; Планшет Lenovo, Хромбук Samsung; Інституційний гігієнічний набір для шкіл  ( тип S для 50 осіб, протягом 3 місців); контейнер для води, листівки, ноутбуки; роутер; Рюкзак із канцелярськими наборами для учнів 1-4 класів; укр.гігієнічний набір,таблетки для очищення води, складний контейнер для води 10л, сімейний набір, дитячий набір для подорожей, павербанк, гігієнічні засоби; дошка, фанера, </t>
  </si>
  <si>
    <t>Generator Karcher PGG 6/1 gasoline,230V,electrostart,max 5,5 kW;Мило рідке, порошок пральний, засіб для миття посуду, рідкий відбілювач, очищувач поверхні, папір туалетний, мішки для сміття ,швабра, відро пластикове, щітка для чищення туалету, рушник паперовий, дезінфікуючий засіб для рук, маски для обличчя, багаторазові пластикові пакети, короб картонний; моноблок, мишка, клавіатура, навушники, фільтр живлення; аптечка колективна; мікрохвильова піч, плита електрична</t>
  </si>
  <si>
    <t>ЕГІДА ЦЕНТР</t>
  </si>
  <si>
    <t>Водонагрівач, змішувач</t>
  </si>
  <si>
    <t>Спальний мішок 85*100;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ліхтарі;Планшет Lenovo, Хромбук Samsung; Інституційний гігієнічний набір для шкіл  ( тип S для 50 осіб, протягом 3 місців); ноутбуки, листівки, контейнер для води; Рюкзаки із канцелярськми  наборами для учнів 1-4 класів; таблетки для очищення води, складний контейнер для води 10л, сімейний набір, гігієнічні засоби; укр.гігієнічний набір; дитячий набір для подорожей+ павербанк</t>
  </si>
  <si>
    <t>Генератор Gucbir GJB-9500-E, Casoline, 1 Phase, 8000W, Electric Start; Хромбук Samsung; Інституційний гігієнічний набір для шкіл  ( тип S для 50 осіб, протягом 3 місців); листівки, контейнер для води;Дошка 25*100*4000мм; фанера; Рюкзаки із канцелярськими наборами для учнів 1-4 класів; дитячий набір для подорожей +павербанк</t>
  </si>
  <si>
    <t>Спальний мішок 85*100;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 Генератор Gucbir GJB-9500-E, Casoline, 1 Phase, 8000W, Electric Start; Планшет Lenovo, Хромбук Samsung; Сигнальна сирена С-28; Інституційний гігієнічний набір для шкіл  ( тип S для 50 осіб, протягом 3 місців); ноутбуки, роутер, листівки; Аптечка класу А; Рюкзаки із канцелярськими наборами для учнів 1-4 класів; Ковдра; укр.гігієнічний набір, дитячий набір для подорожей+павербанк, гігієнічні засоби, підгузки,  таблетки для очищення води, складний контейнер для води 10л, сімейний набір; укр.гігієнічний набір,  гігієнічні засоби, підгузки,  таблетки для очищення води, складний контейнер для води 10л, фільтр для питної води</t>
  </si>
  <si>
    <t>Стіл та 2 стільця, Килим 130*133, мольберт, крейда кольорова,  кольорові олівці, глина для моделювання, воскові олівці, конструктор "Лего", крейда кольорова; Машина пральна SNDESITOMTWSA 61052 W/UA; Спальний мішок 85*210; пральний порошок,рукавиці латексні,машина сушильна,мольберт,крісло-мішок,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 Обігрівач MASTER; перехідне кільце, гнучка труба, кабель; Планшет Lenovo, Хромбук Samsung; Інституційний гігієнічний набір для шкіл  ( тип S для 50 осіб, протягом 3 місців); ноутбуки, листівки; Дошка 25*100*4000мм; фанера; рюкзаки із канцелярськими наборами для учнів 1-4 класів; Таблетки для очищення води, складний контейнер для води 10л, сімейний набір, дитячий набір для подорожей+павербанк, укр. гігієнічний набір , гігієнічні засоби</t>
  </si>
  <si>
    <t>Благодійний фонд "Посмішка ЮА"</t>
  </si>
  <si>
    <t>Проектор, екран, портативна колонка, програмне забеспечення, миша, нотбук, крісло мішок, стіл, стілець, ігри, м'ячі, обручі, канцелярське приладдя, миат татамі</t>
  </si>
  <si>
    <t>Павербанк батарея; Масляний радіатор; Свічки, ковдра, одноразовий посуд, конвектор, сітьовий подовжуввач, складне ліжко з матрацем, подушка, мікрохвильова піч,  термопот для гарячих напоїв, рушник 70*140, ліхтарі; Планшет Lenovo; Спальний мішок 85*210; Інституційний гігієнічний набір для шкіл  ( тип S для 50 осіб, протягом 3 місців); контейнер для води, ноутбуки, роутер, листівки; Рюкзаки із канцелярськими наборами для учнів 1-4 класів; укр.гігєнічний набір, дитячий набір для подороджей+павербанк; гігієнічні засоби, таблетки для очищення води, складний контейнер для води 10л</t>
  </si>
  <si>
    <t>Масляний радіатор;Свічки, ковдра, одноразовий посуд, ємкість для води, конвектор, сітьовий подовжуввач, складне ліжко з матрацем, подушка, мікрохвильова піч,  термопот для гарячих напоїв, рушник 70*140, ліхтарі; Обігрівач MASTER, перехідне кільце, гнучка труба, кабель; Планшет Lenovo, Хромбук Samsung; Інституційний гігієнічний набір для шкіл  ( тип S для 50 осіб, протягом 3 місців); контейнер для води, ноутбуки, листівки; Рюкзаки із канцелярськими наборами для учнів 1-4 класів; укр.гігієнічний набір, таблетки для очищення води ,складний контейнер для води 10л, гігієнічні засоби; дитячий набір для подорожей +павербанк</t>
  </si>
  <si>
    <t>Генератор Gucbir GJB-9500-E, Casoline, 1 Phase, 8000W, Electric Start; контейнер для води, листівки, ноутбуки; Дошка 25*100*4000мм; фанера; аптечка класу А; Рюкзаки із канцелярськими наборами для учнів 1-4 класів; ковдри; гігієнічні засоби, укр.гігієнічний набір, таблетки для очищення води, фільтр для питної води 10л, складний контейнер для води 10л, укр.гігієнічний набір, підгузки,  дитячий набір для подорожей +павербанк</t>
  </si>
  <si>
    <t>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контейнер для води, ноутбуки, листівки; Ноутбук Dell Latitude E5470+power cable; гігієнічні засоби, таблетки для очищення води, складний контейнер для води, 10л, сімейний набір, укр.гігієнічний набір</t>
  </si>
  <si>
    <t>Водонагрівач електричний; масляний радіатор;  Свічки, ковдра, одноразовий посуд, ємкість для води,конвектор,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ноутбуки, роутер, листівки; Дошка 25*100*4000мм; фанера;  Рюкзаки із канцелярськими наборами для учнів 1-4 класів; укр. гігієнічний набір, дитячий набір для подорожей+павербанк, гігієнічні засоби, таблетки для очищення води, складний контейнер для води 10л</t>
  </si>
  <si>
    <t xml:space="preserve">Генератор Gucbir GJB-9500-E, Casoline, 1 Phase, 8000W, Electric Start; Інституційний гігієнічний набір для шкіл  ( тип S для 50 осіб, протягом 3 місців); ноутбуки, контейнер для води, листівки; ковдра;Аптечка класу А; Рюкзаки із канцелярськими наборами для учнів 1-4 класів; укр.гігієнічний набір, дитячий набір для подорожей+павербанк, гігієнічні засоби, підгузки,  таблетки для очищення води, складний контейнер для води 10л, </t>
  </si>
  <si>
    <t>Водонагрівач електричний; масляний радіатор;  Свічки, ковдра, одноразовий посуд, ємкість для води,конвектор,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ноутбуки, листівки, роутер, контейнер для води;  Рюкзаки із канцелярськими наборами для учнів 1-4 класів; укр.гігієнічний набір, дитячий набір для подорожей +павербанк, гігієнічні засоби, таблетки для очищення води, складний контейнер для води 10л</t>
  </si>
  <si>
    <t xml:space="preserve">Генератор Gucbir GJB-9500-E, Casoline, 1 Phase, 8000W, Electric Start; Інституційний гігієнічний набір для дитячих садків ( тип С для 30 осіб, протягом 3 місців); листівки; Аптечка класу А; Ковдра; гігієнічні засоби, підгузки,  укр.гігієнічний набір, таблетки для очищення води, складний контейнер для води 10л, фільтр для питної води, </t>
  </si>
  <si>
    <t xml:space="preserve">Водонагрівач електричний; Генератор Gucbir GJB-9500-E, Casoline, 1 Phase, 8000W, Electric Start; Інституційний гігієнічний набір для дитячих садків ( тип С для 30 осіб, протягом 3 місців); листівки; Дошка 25*100*4000мм; фанера; Аптечка класу А;  Контейнер для зберігання води 1000л; ковдра; гігієнічні засоби, підгузки,  укр.гігієнічний набір, таблетки для очищення води, складний контейнер для води 10л, фільтр для питної води, </t>
  </si>
  <si>
    <t>КЗ Центр професійного розвитку педагогічних працівників" КМР</t>
  </si>
  <si>
    <t>Бокс "Навчально-розвивальні матеріали для закладів дошкільної освіти"</t>
  </si>
  <si>
    <t>Доріжка килимова 2,0*6,0, Тюль "Зефір" 7,0*2,7, туалетний папір, пакети для сміття; засіб для миття підлоги, засіб для чищення, тарілка глибока, тарілка мілка, блюдце</t>
  </si>
  <si>
    <t>Електроваги MATARIX MX-414</t>
  </si>
  <si>
    <t>Вапно, цемент,пісок</t>
  </si>
  <si>
    <t>Інформаційний стенд, ламінатор, овочерізка, комод пластиковий, морозильна камера, перфоратор, електродухова шафа, телевізор, дитячий вігвам, електричний дриль-шурупокрут, мишинка шліфувальна; Комплект подушка (40*60см) та ковдра (105*150см) з синтепованим наповнювачем різнокольоровий; Ковдра (105*150см) з синтепованим наповнювачем жовтого кольору; Костюм Святого Миколая дорослий; Декоративний комплект (10 хмаринок, 1 сонечко) блакитного та жовтого кольору; стілець, стіл офісний</t>
  </si>
  <si>
    <t>Холодильник "ElectroLuX", Пральна машина "Samsung"; праска Tefal</t>
  </si>
  <si>
    <t>Кірсанова Марина 0978105436</t>
  </si>
  <si>
    <t>щодо надходжень бюджетних установ  за грудень 2023 року</t>
  </si>
  <si>
    <t xml:space="preserve">Планшет Lenovo, Хромбук Samsung; листівки, ноутбуки; контейнер для води;ноутбук, навушники, мишка, сумка для ноутбука, </t>
  </si>
  <si>
    <t>Машина пральна SNDESITOMTWSA 61052 W/UA, спальний мішок 85*210; Водонагрівач електричний, павербанк батарея ; Масляний радіатор,пральний порошок,рукавички латексні,машина сушильна,крісло-мішок; Свічки, ковдра, одноразовий посуд, конвектор,складне ліжко з матрацем, подушка, термопот для гарячих напоїв, рушник 70*140, ліхтарі; Генератор Disel Power 11000 ASE; Обігрівач MASTER, перехідне кільце, гнучка труба, кабель; Планшет Lenovo; Інституційний гігієнічний набір для шкіл  ( тип S для 50 осіб, протягом 3 місців); контейнер для води, ноутбуки, листівки; Дошка 25*100*4000мм; фанера; Рюкзак із канцелярськими наборами для учнів 1-4 класів; Дитячий набір для подорожей, павербанк, таблетки для очищення води, складний контейнер для води 10л, сімейний набір, гігієнічні засоби, український гігієнічний набір; Аптечка першої допомоги, ноутбук, навушники, мишка, сумка для ноутбука, миючі засоби на ПН</t>
  </si>
  <si>
    <t>Генератор Gucbir GJB-9500-E, Casoline, 1 Phase, 8000W, Electric Start; Хромбук Samsung; Інституційний гігієнічний набір для шкіл  ( тип S для 50 осіб, протягом 3 місців); листівки, ноутбуки, контейнер для води; Дошка 25*100*4000мм; фанера; Аптечка класу А; Рюкзак із канцелярськими наборами для учнів 1-4 класів; Ковдра; Гігієнічні засоби, укр.гігієнічні набори, таблетки для очищення води, складний контейнер для води 10л, сімейний набір, підгузки; Аптечка першої допомоги, ноутбук, навушники, мишка, сумка для ноутбука, миючі засоби на ПН</t>
  </si>
  <si>
    <t>Водонагрівач електричний; масляний радіатор;  Свічки, ковдра, одноразовий посуд,конвектор,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листівки, контейнер для води, роутер;Дошка 25*100*4000мм; фанера; Рюкзаки із канцелярським наборами для учнів 1-4 класів; укр.гігієнічний набір, гігієнічні засоби, таблетки для очищення води, складний контейнер для води 10л, сімейний набір. Аптечка першої допомоги, ноутбук, навушники, мишка, сумка для ноутбука, миючі засоби на ПН</t>
  </si>
  <si>
    <t xml:space="preserve">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Водяний фільтр; Планшет Lenovo, Хромбук Samsung; Інституційний гігієнічний набір для шкіл  ( тип S для 50 осіб, протягом 3 місців); контейнер для води, листівки, ноутбуки; роутер; Рюкзак із канцелярськими наборами для учнів 1-4 класів; укр.гігієнічний набір,таблетки для очищення води, складний контейнер для води 10л, сімейний набір, дитячий набір для подорожей, павербанк, гігієнічні засоби; дошка, фанера. Аптечка першої допомоги, ноутбук, навушники, мишка, сумка для ноутбука, миючі засоби на ПН </t>
  </si>
  <si>
    <t>ГО "Проліска"</t>
  </si>
  <si>
    <t>Ковдра, Матрац, Постільна білизна, подушка, рушник, ліжко металеве</t>
  </si>
  <si>
    <t>Спальний мішок 85*100;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ліхтарі;Планшет Lenovo, Хромбук Samsung; Інституційний гігієнічний набір для шкіл  ( тип S для 50 осіб, протягом 3 місців); ноутбуки, листівки, контейнер для води; Рюкзаки із канцелярськми  наборами для учнів 1-4 класів; таблетки для очищення води, складний контейнер для води 10л, сімейний набір, гігієнічні засоби; укр.гігієнічний набір; дитячий набір для подорожей+ павербанк. Аптечка першої допомоги, ноутбук, навушники, мишка, сумка для ноутбука, миючі засоби на ПН</t>
  </si>
  <si>
    <t>Генератор Gucbir GJB-9500-E, Casoline, 1 Phase, 8000W, Electric Start; Хромбук Samsung; Інституційний гігієнічний набір для шкіл  ( тип S для 50 осіб, протягом 3 місців); листівки, контейнер для води;Дошка 25*100*4000мм; фанера; Рюкзаки із канцелярськими наборами для учнів 1-4 класів; дитячий набір для подорожей +павербанк. Ноутбук, навушники, мишка, сумка для ноутбука.</t>
  </si>
  <si>
    <t>Спальний мішок 85*100;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 Генератор Gucbir GJB-9500-E, Casoline, 1 Phase, 8000W, Electric Start; Планшет Lenovo, Хромбук Samsung; Сигнальна сирена С-28; Інституційний гігієнічний набір для шкіл  ( тип S для 50 осіб, протягом 3 місців); ноутбуки, роутер, листівки; Аптечка класу А; Рюкзаки із канцелярськими наборами для учнів 1-4 класів; Ковдра; укр.гігієнічний набір, дитячий набір для подорожей+павербанк, гігієнічні засоби, підгузки,  таблетки для очищення води, складний контейнер для води 10л, сімейний набір; укр.гігієнічний набір,  гігієнічні засоби, підгузки,  таблетки для очищення води, складний контейнер для води 10л, фільтр для питної води. Аптечки першої допомоги, ноутбук, навушники, мишка, сумка для ноутбука, миючі засоби на ПН</t>
  </si>
  <si>
    <t>Стіл та 2 стільця, Килим 130*133, мольберт, крейда кольорова,  кольорові олівці, глина для моделювання, воскові олівці, конструктор "Лего", крейда кольорова; Машина пральна SNDESITOMTWSA 61052 W/UA; Спальний мішок 85*210; пральний порошок,рукавиці латексні,машина сушильна,мольберт,крісло-мішок, водонагрівач електричний, павербанк батарея; Масляний радіатор; Свічки, ковдра, одноразовий посуд, конвектор, складне ліжко з матрацем, подушка,  термопот для гарячих напоїв, рушник 70*140, ліхтарі; Обігрівач MASTER; перехідне кільце, гнучка труба, кабель; Планшет Lenovo, Хромбук Samsung; Інституційний гігієнічний набір для шкіл  ( тип S для 50 осіб, протягом 3 місців); ноутбуки, листівки; Дошка 25*100*4000мм; фанера; рюкзаки із канцелярськими наборами для учнів 1-4 класів; Таблетки для очищення води, складний контейнер для води 10л, сімейний набір, дитячий набір для подорожей+павербанк, укр. гігієнічний набір , гігієнічні засоби. Аптечка першої допомоги, ноутбук, навушники, мишка, сумка для ноутбука, миючі засоби на ПН, брезент</t>
  </si>
  <si>
    <t>Будівельні матеріали; меблева стінка, Шафа КШ-5 з 2 секцій, колір ольха</t>
  </si>
  <si>
    <t>Павербанк батарея; Масляний радіатор; Свічки, ковдра, одноразовий посуд, конвектор, сітьовий подовжуввач, складне ліжко з матрацем, подушка, мікрохвильова піч,  термопот для гарячих напоїв, рушник 70*140, ліхтарі; Планшет Lenovo; Спальний мішок 85*210; Інституційний гігієнічний набір для шкіл  ( тип S для 50 осіб, протягом 3 місців); контейнер для води, ноутбуки, роутер, листівки; Рюкзаки із канцелярськими наборами для учнів 1-4 класів; укр.гігєнічний набір, дитячий набір для подороджей+павербанк; гігієнічні засоби, таблетки для очищення води, складний контейнер для води 10л. Аптечка першої допомоги, ноутбук, навушники, мишка, сумка для ноутбука, миючі засоби на ПН, брезент</t>
  </si>
  <si>
    <t>Масляний радіатор;Свічки, ковдра, одноразовий посуд, ємкість для води, конвектор, сітьовий подовжуввач, складне ліжко з матрацем, подушка, мікрохвильова піч,  термопот для гарячих напоїв, рушник 70*140, ліхтарі; Обігрівач MASTER, перехідне кільце, гнучка труба, кабель; Планшет Lenovo, Хромбук Samsung; Інституційний гігієнічний набір для шкіл  ( тип S для 50 осіб, протягом 3 місців); контейнер для води, ноутбуки, листівки; Рюкзаки із канцелярськими наборами для учнів 1-4 класів; укр.гігієнічний набір, таблетки для очищення води ,складний контейнер для води 10л, гігієнічні засоби; дитячий набір для подорожей +павербанк. Аптечка першої допомоги,  миючі засоби на ПН</t>
  </si>
  <si>
    <t>Генератор Gucbir GJB-9500-E, Casoline, 1 Phase, 8000W, Electric Start; контейнер для води, листівки, ноутбуки; Дошка 25*100*4000мм; фанера; аптечка класу А; Рюкзаки із канцелярськими наборами для учнів 1-4 класів; ковдри; гігієнічні засоби, укр.гігієнічний набір, таблетки для очищення води, фільтр для питної води 10л, складний контейнер для води 10л, укр.гігієнічний набір, підгузки,  дитячий набір для подорожей +павербанк. Аптечка першої допомоги, ноутбук, навушники, мишка, сумка для ноутбука, миючі засоби на ПН</t>
  </si>
  <si>
    <t>Генератор Gucbir GJB-9500-E, Casoline, 1 Phase, 8000W, Electric Start; контейнер для води; листівки; ноутбуки. Ноутбук, навушники, мишка, сумка для ноутбука. Аптечка першої допомоги, ноутбук, навушники, мишка, сумка для ноутбука, миючі засоби на ПН,</t>
  </si>
  <si>
    <t>Водонагрівач електричний; масляний радіатор;  Свічки, ковдра, одноразовий посуд, ємкість для води,конвектор,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ноутбуки, роутер, листівки; Дошка 25*100*4000мм; фанера;  Рюкзаки із канцелярськими наборами для учнів 1-4 класів; укр. гігієнічний набір, дитячий набір для подорожей+павербанк, гігієнічні засоби, таблетки для очищення води, складний контейнер для води 10л. Аптечка першої допомоги, Бокс навчальний, миючі засоби на ПН,</t>
  </si>
  <si>
    <t xml:space="preserve">Назва підприємств, установ </t>
  </si>
  <si>
    <t xml:space="preserve">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Хромбук Samsung; контейнер для води, ноутбуки, листівки;  Рюкзаки із канцелярськими наборами для учнів 1-4 класів; гігієнічні засоби, таблетки для очищення води, складний контейнер для води, 10л, укр.гігієнічний набір, дитячий набір для подорожей +павербанк. </t>
  </si>
  <si>
    <t>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контейнер для води, ноутбуки, листівки; Ноутбук Dell Latitude E5470+power cable; гігієнічні засоби, таблетки для очищення води, складний контейнер для води, 10л, сімейний набір, укр.гігієнічний набір.Аптечка першої допомоги, ноутбук, навушники, мишка, сумка для ноутбука, миючі засоби на ПН</t>
  </si>
  <si>
    <t>Спальний мішок 85*100; павербанк батарея; масляний радіатор;Свічки, ковдра, одноразовий посуд,конвектор, складне ліжко з матрацем, подушка,  термопот для гарячих напоїв, рушник 70*140, ліхтарі; Хромбук Samsung; контейнер для води, ноутбуки, листівки;  Рюкзаки із канцелярськими наборами для учнів 1-4 класів; гігієнічні засоби, таблетки для очищення води, складний контейнер для води, 10л, укр.гігієнічний набір, дитячий набір для подорожей +павербанк. Аптечка першої допомоги, ноутбук, навушники, мишка, сумка для ноутбука, миючі засоби на ПН</t>
  </si>
  <si>
    <t>Генератор Gucbir GJB-9500-E, Casoline, 1 Phase, 8000W, Electric Start; Інституційний гігієнічний набір для шкіл  ( тип S для 50 осіб, протягом 3 місців); ноутбуки, контейнер для води, листівки; ковдра;Аптечка класу А; Рюкзаки із канцелярськими наборами для учнів 1-4 класів; укр.гігієнічний набір, дитячий набір для подорожей+павербанк, гігієнічні засоби, підгузки,  таблетки для очищення води, складний контейнер для води 10л.Аптечка першої допомоги, ноутбук, навушники, мишка, сумка для ноутбука, миючі засоби на ПН, брезент</t>
  </si>
  <si>
    <t>Водонагрівач електричний; масляний радіатор;  Свічки, ковдра, одноразовий посуд, ємкість для води,конвектор, сітьовий подовжуввач, складне ліжко з матрацем, подушка, мікрохвильова піч,  термопот для гарячих напоїв, рушник 70*140, ліхтарі; Інституційний гігієнічний набір для шкіл  ( тип S для 50 осіб, протягом 3 місців); ноутбуки, листівки, роутер, контейнер для води;  Рюкзаки із канцелярськими наборами для учнів 1-4 класів; укр.гігієнічний набір, дитячий набір для подорожей +павербанк, гігієнічні засоби, таблетки для очищення води, складний контейнер для води 10л. Аптечка першої допомоги, ноутбук, навушники, мишка, сумка для ноутбука, миючі засоби на ПН</t>
  </si>
  <si>
    <t>БО "Благодійний фонд  Андрія Богданця "Допоможемо Разом""</t>
  </si>
  <si>
    <t>Вивіска, крісло шкільне, стіл-парта 2-місна (1200*500*760), лавка 2м., стіл 6-місній (1500*620*760) , крісло груша,  килимок туристичний із тисненням 60*180 см</t>
  </si>
  <si>
    <t>ГО " Слуга Народу"</t>
  </si>
  <si>
    <t>Шафа книжкова КШ-19, Шафа книжкова КШ-22, Дерев'яна мапа України 3Д</t>
  </si>
  <si>
    <t>Генератор Gucbir GJB-9500-E, Casoline, 1 Phase, 8000W, Electric Start; Інституційний гігієнічний набір для дитячих садків ( тип С для 30 осіб, протягом 3 місців); листівки; Аптечка класу А; Ковдра; гігієнічні засоби, підгузки,  укр.гігієнічний набір, таблетки для очищення води, складний контейнер для води 10л, фільтр для питної води, Аптечки медичні, брезент, миючі засоби на ПН</t>
  </si>
  <si>
    <t>Генератор Gucbir GJB-9500-E, Casoline, 1 Phase, 8000W, Electric Start; Інституційний гігієнічний набір для дитячих садків ( тип С для 30 осіб, протягом 3 місців); листівки. Ноутбук, сумка для ноутбука, навушники, комп'ютерна миша</t>
  </si>
  <si>
    <t>Контейнер для води,листівки;  Генератор Gucbir GJB-9500-E, Casoline, 1 Phase, 8000W, Electric Start; Ноутбук, сумка для ноутбука, навушники, комп'ютерна миша</t>
  </si>
  <si>
    <t>Генератор Gucbir GJB-9500-E, Casoline, 1 Phase, 8000W, Electric Start; Інституційний гігієнічний набір для дитячих садків ( тип С для 30 осіб, протягом 3 місців); контейнер для води; листівки.Ноутбук, сумка для ноутбука, навушники, комп'ютерна миша</t>
  </si>
  <si>
    <t>Генератор Gucbir GJB-9500-E, Casoline, 1 Phase, 8000W, Electric Start; Інституційний гігієнічний набір для дитячих садків ( тип С для 30 осіб, протягом 3 місців); контейнер для води; листівки. Ноутбук, сумка для ноутбука, навушники, комп'ютерна миша</t>
  </si>
  <si>
    <t>Генератор Gucbir GJB-9500-E, Casoline, 1 Phase, 8000W, Electric Start; контейнер для води; листівки.Ноутбук, сумка для ноутбука, навушники, комп'ютерна миша</t>
  </si>
  <si>
    <t>Генератор Gucbir GJB-9500-E, Casoline, 1 Phase, 8000W, Electric Start; Інституційний гігієнічний набір для дитячих садків ( тип С для 30 осіб, протягом 3 місців); контейнер для води; листівки; Дошка 25*100*4000мм; фанера. Ноутбук, сумка для ноутбука, навушники, комп'ютерна миша</t>
  </si>
  <si>
    <t>Контейнер для води, листівки; Дошка 25*100*4000мм; фанера. Ноутбук, сумка для ноутбука, навушники, комп'ютерна миша</t>
  </si>
  <si>
    <t>Контейнер для води, листівки. Ноутбук, сумка для ноутбука, навушники, комп'ютерна миша</t>
  </si>
  <si>
    <t>листівки. Ноутбук, сумка для ноутбука, навушники, комп'ютерна миша</t>
  </si>
  <si>
    <t>Листівки. Бокс навчально-розвивальний</t>
  </si>
  <si>
    <t>Листівки, Ноутбук, сумка для ноутбука, навушники, комп'ютерна миша. Бокс навчально-розвивальний</t>
  </si>
  <si>
    <t>Контейнер для води, листівки. Ноутбук, сумка для ноутбука, навушники, комп'ютерна миша. Бокс навчально-розвивальний</t>
  </si>
  <si>
    <t>Принтер кенон</t>
  </si>
  <si>
    <t xml:space="preserve">Бокс "Навчально-розвивальні матеріали для закладів дошкільної освіти". </t>
  </si>
  <si>
    <t>Контейнер для води, листівки; Генератор Disel Power 11000ASE; Ноутбук, сумка для ноутбука, навушники, комп'ютерна миша</t>
  </si>
  <si>
    <t>Дабіжа</t>
  </si>
  <si>
    <t>Набат</t>
  </si>
  <si>
    <t>МОМ</t>
  </si>
  <si>
    <t>Н Е</t>
  </si>
  <si>
    <t>Егіда центр</t>
  </si>
  <si>
    <t>Півн ГЗК</t>
  </si>
  <si>
    <t>Актед 27,55, 42</t>
  </si>
  <si>
    <t>Проліска</t>
  </si>
  <si>
    <t>Стіл ворк</t>
  </si>
  <si>
    <t>Людина в біді</t>
  </si>
  <si>
    <t>Спів дія</t>
  </si>
  <si>
    <t>Восток сос</t>
  </si>
  <si>
    <t>Управління верховного комісаріату</t>
  </si>
  <si>
    <t>надзвичайники</t>
  </si>
  <si>
    <t>ІМЦ</t>
  </si>
  <si>
    <t>Юнісеф</t>
  </si>
  <si>
    <t>Виконком КГ № 42</t>
  </si>
  <si>
    <t>ВСП Крив. РВДУ</t>
  </si>
  <si>
    <t>Посмішка</t>
  </si>
  <si>
    <t>ДОІН</t>
  </si>
  <si>
    <t>БО Богданця КГ № 117</t>
  </si>
  <si>
    <t>Слуга Народу</t>
  </si>
  <si>
    <t>Населення КГ 110 бензин</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</si>
</sst>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
    <numFmt numFmtId="190" formatCode="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54">
    <font>
      <sz val="11"/>
      <color theme="1"/>
      <name val="Calibri"/>
      <family val="2"/>
    </font>
    <font>
      <sz val="11"/>
      <color indexed="8"/>
      <name val="Calibri"/>
      <family val="2"/>
    </font>
    <font>
      <sz val="11"/>
      <color indexed="8"/>
      <name val="Times New Roman"/>
      <family val="1"/>
    </font>
    <font>
      <sz val="10"/>
      <color indexed="8"/>
      <name val="Times New Roman"/>
      <family val="1"/>
    </font>
    <font>
      <sz val="12"/>
      <color indexed="8"/>
      <name val="Times New Roman"/>
      <family val="1"/>
    </font>
    <font>
      <sz val="10"/>
      <name val="Arial"/>
      <family val="2"/>
    </font>
    <font>
      <sz val="10"/>
      <name val="Arial Cyr"/>
      <family val="0"/>
    </font>
    <font>
      <sz val="10"/>
      <name val="Times New Roman"/>
      <family val="1"/>
    </font>
    <font>
      <b/>
      <sz val="10"/>
      <name val="Times New Roman"/>
      <family val="1"/>
    </font>
    <font>
      <b/>
      <i/>
      <sz val="12"/>
      <color indexed="8"/>
      <name val="Times New Roman"/>
      <family val="1"/>
    </font>
    <font>
      <b/>
      <sz val="12"/>
      <color indexed="8"/>
      <name val="Times New Roman"/>
      <family val="1"/>
    </font>
    <font>
      <sz val="12"/>
      <name val="Times New Roman"/>
      <family val="1"/>
    </font>
    <font>
      <b/>
      <sz val="12"/>
      <name val="Times New Roman"/>
      <family val="1"/>
    </font>
    <font>
      <i/>
      <sz val="12"/>
      <color indexed="8"/>
      <name val="Times New Roman"/>
      <family val="1"/>
    </font>
    <font>
      <sz val="9"/>
      <name val="Times New Roman"/>
      <family val="1"/>
    </font>
    <font>
      <sz val="11"/>
      <name val="Times New Roman"/>
      <family val="1"/>
    </font>
    <font>
      <sz val="8"/>
      <color indexed="8"/>
      <name val="Times New Roman"/>
      <family val="1"/>
    </font>
    <font>
      <sz val="9"/>
      <color indexed="8"/>
      <name val="Times New Roman"/>
      <family val="1"/>
    </font>
    <font>
      <sz val="8"/>
      <name val="Times New Roman"/>
      <family val="1"/>
    </font>
    <font>
      <b/>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C00"/>
        <bgColor indexed="64"/>
      </patternFill>
    </fill>
    <fill>
      <patternFill patternType="solid">
        <fgColor theme="2" tint="-0.24997000396251678"/>
        <bgColor indexed="64"/>
      </patternFill>
    </fill>
    <fill>
      <patternFill patternType="solid">
        <fgColor rgb="FF66FFFF"/>
        <bgColor indexed="64"/>
      </patternFill>
    </fill>
    <fill>
      <patternFill patternType="solid">
        <fgColor rgb="FF6699FF"/>
        <bgColor indexed="64"/>
      </patternFill>
    </fill>
    <fill>
      <patternFill patternType="solid">
        <fgColor rgb="FF990000"/>
        <bgColor indexed="64"/>
      </patternFill>
    </fill>
    <fill>
      <patternFill patternType="solid">
        <fgColor rgb="FF00CC66"/>
        <bgColor indexed="64"/>
      </patternFill>
    </fill>
    <fill>
      <patternFill patternType="solid">
        <fgColor rgb="FFCCCC00"/>
        <bgColor indexed="64"/>
      </patternFill>
    </fill>
    <fill>
      <patternFill patternType="solid">
        <fgColor rgb="FF009900"/>
        <bgColor indexed="64"/>
      </patternFill>
    </fill>
    <fill>
      <patternFill patternType="solid">
        <fgColor theme="3" tint="0.7999799847602844"/>
        <bgColor indexed="64"/>
      </patternFill>
    </fill>
    <fill>
      <patternFill patternType="solid">
        <fgColor rgb="FFFFFF66"/>
        <bgColor indexed="64"/>
      </patternFill>
    </fill>
    <fill>
      <patternFill patternType="solid">
        <fgColor rgb="FFFF99FF"/>
        <bgColor indexed="64"/>
      </patternFill>
    </fill>
    <fill>
      <patternFill patternType="solid">
        <fgColor rgb="FF66FF33"/>
        <bgColor indexed="64"/>
      </patternFill>
    </fill>
    <fill>
      <patternFill patternType="solid">
        <fgColor theme="0" tint="-0.24997000396251678"/>
        <bgColor indexed="64"/>
      </patternFill>
    </fill>
    <fill>
      <patternFill patternType="solid">
        <fgColor rgb="FF9900FF"/>
        <bgColor indexed="64"/>
      </patternFill>
    </fill>
    <fill>
      <patternFill patternType="solid">
        <fgColor rgb="FFFF9966"/>
        <bgColor indexed="64"/>
      </patternFill>
    </fill>
    <fill>
      <patternFill patternType="solid">
        <fgColor rgb="FFCCFFFF"/>
        <bgColor indexed="64"/>
      </patternFill>
    </fill>
    <fill>
      <patternFill patternType="solid">
        <fgColor rgb="FF99FF66"/>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style="medium"/>
      <bottom style="medium"/>
    </border>
    <border>
      <left style="thin"/>
      <right style="thin"/>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0">
      <alignment/>
      <protection/>
    </xf>
    <xf numFmtId="0" fontId="5"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2" borderId="0" applyNumberFormat="0" applyBorder="0" applyAlignment="0" applyProtection="0"/>
  </cellStyleXfs>
  <cellXfs count="308">
    <xf numFmtId="0" fontId="0" fillId="0" borderId="0" xfId="0" applyFont="1" applyAlignment="1">
      <alignment/>
    </xf>
    <xf numFmtId="0" fontId="4" fillId="0" borderId="0" xfId="0" applyFont="1" applyAlignment="1">
      <alignment vertical="center"/>
    </xf>
    <xf numFmtId="0" fontId="10"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2" fontId="4" fillId="0" borderId="10" xfId="0" applyNumberFormat="1" applyFont="1" applyBorder="1" applyAlignment="1">
      <alignment horizontal="center" vertical="center"/>
    </xf>
    <xf numFmtId="2"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xf>
    <xf numFmtId="2" fontId="10" fillId="0" borderId="10"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0" xfId="0" applyFont="1" applyBorder="1" applyAlignment="1">
      <alignment vertical="center"/>
    </xf>
    <xf numFmtId="0" fontId="4" fillId="0" borderId="10" xfId="0"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vertical="center" wrapText="1"/>
    </xf>
    <xf numFmtId="0" fontId="4" fillId="0" borderId="11" xfId="0" applyFont="1" applyFill="1" applyBorder="1" applyAlignment="1">
      <alignment horizontal="left" vertical="center" wrapText="1"/>
    </xf>
    <xf numFmtId="0" fontId="11" fillId="0" borderId="10" xfId="0" applyFont="1" applyBorder="1" applyAlignment="1">
      <alignment horizontal="right" vertical="center" wrapText="1"/>
    </xf>
    <xf numFmtId="0" fontId="4" fillId="0" borderId="10" xfId="0" applyFont="1" applyFill="1" applyBorder="1" applyAlignment="1">
      <alignment horizontal="left" vertical="center" wrapText="1"/>
    </xf>
    <xf numFmtId="2" fontId="12"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0" fontId="1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9" fillId="0" borderId="0" xfId="0" applyFont="1" applyAlignment="1">
      <alignment vertical="center"/>
    </xf>
    <xf numFmtId="0" fontId="4" fillId="0" borderId="10" xfId="0" applyFont="1" applyBorder="1" applyAlignment="1">
      <alignment vertical="center" wrapText="1"/>
    </xf>
    <xf numFmtId="0" fontId="10" fillId="0" borderId="10" xfId="0" applyFont="1" applyBorder="1" applyAlignment="1">
      <alignment vertical="center" wrapText="1"/>
    </xf>
    <xf numFmtId="0" fontId="4"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4" fillId="0" borderId="0" xfId="0" applyFont="1" applyBorder="1" applyAlignment="1">
      <alignment horizontal="left" vertical="center"/>
    </xf>
    <xf numFmtId="0" fontId="11" fillId="0" borderId="11" xfId="0" applyFont="1" applyBorder="1" applyAlignment="1">
      <alignment horizontal="left" vertical="center" wrapText="1"/>
    </xf>
    <xf numFmtId="0" fontId="4" fillId="0" borderId="0" xfId="0" applyFont="1" applyBorder="1" applyAlignment="1">
      <alignment vertical="center" wrapText="1"/>
    </xf>
    <xf numFmtId="2" fontId="4" fillId="0" borderId="10" xfId="0" applyNumberFormat="1" applyFont="1" applyBorder="1" applyAlignment="1">
      <alignment vertical="center"/>
    </xf>
    <xf numFmtId="2" fontId="4" fillId="0" borderId="10" xfId="0" applyNumberFormat="1" applyFont="1" applyBorder="1" applyAlignment="1">
      <alignment vertical="center" wrapText="1"/>
    </xf>
    <xf numFmtId="2" fontId="12" fillId="0" borderId="10" xfId="0" applyNumberFormat="1" applyFont="1" applyFill="1" applyBorder="1" applyAlignment="1">
      <alignment horizontal="center"/>
    </xf>
    <xf numFmtId="2" fontId="10" fillId="0" borderId="10" xfId="0" applyNumberFormat="1" applyFont="1" applyBorder="1" applyAlignment="1">
      <alignment vertical="center"/>
    </xf>
    <xf numFmtId="0" fontId="10" fillId="0" borderId="10" xfId="0" applyFont="1" applyBorder="1" applyAlignment="1">
      <alignment horizontal="left" vertical="center" wrapText="1"/>
    </xf>
    <xf numFmtId="2" fontId="10" fillId="0" borderId="10" xfId="0" applyNumberFormat="1" applyFont="1" applyBorder="1" applyAlignment="1">
      <alignment vertical="center" wrapText="1"/>
    </xf>
    <xf numFmtId="0" fontId="10" fillId="0" borderId="0" xfId="0" applyFont="1" applyBorder="1" applyAlignment="1">
      <alignment vertical="center" wrapText="1"/>
    </xf>
    <xf numFmtId="2" fontId="10" fillId="0" borderId="0" xfId="0" applyNumberFormat="1"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2" fontId="4" fillId="0" borderId="0" xfId="0" applyNumberFormat="1" applyFont="1" applyBorder="1" applyAlignment="1">
      <alignment vertical="center"/>
    </xf>
    <xf numFmtId="2" fontId="12" fillId="0" borderId="10" xfId="0" applyNumberFormat="1" applyFont="1" applyBorder="1" applyAlignment="1">
      <alignment horizontal="left" vertical="center" wrapText="1"/>
    </xf>
    <xf numFmtId="2" fontId="11" fillId="0" borderId="10" xfId="53" applyNumberFormat="1" applyFont="1" applyFill="1" applyBorder="1" applyAlignment="1">
      <alignment horizontal="center" vertical="center" wrapText="1"/>
      <protection/>
    </xf>
    <xf numFmtId="2" fontId="10" fillId="0" borderId="10" xfId="0" applyNumberFormat="1" applyFont="1" applyBorder="1" applyAlignment="1">
      <alignment horizontal="center" vertical="center"/>
    </xf>
    <xf numFmtId="2" fontId="11" fillId="0" borderId="10" xfId="0" applyNumberFormat="1" applyFont="1" applyBorder="1" applyAlignment="1">
      <alignment horizontal="center" wrapText="1"/>
    </xf>
    <xf numFmtId="2" fontId="12" fillId="0" borderId="10" xfId="0" applyNumberFormat="1" applyFont="1" applyFill="1" applyBorder="1" applyAlignment="1">
      <alignment horizontal="center" vertical="center"/>
    </xf>
    <xf numFmtId="0" fontId="12" fillId="0" borderId="10" xfId="0" applyFont="1" applyBorder="1" applyAlignment="1">
      <alignment vertical="center" wrapText="1"/>
    </xf>
    <xf numFmtId="2" fontId="12" fillId="0" borderId="10" xfId="0" applyNumberFormat="1"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vertical="center"/>
    </xf>
    <xf numFmtId="0" fontId="4" fillId="0" borderId="10" xfId="0" applyFont="1" applyBorder="1" applyAlignment="1">
      <alignment horizontal="center" vertical="center"/>
    </xf>
    <xf numFmtId="0" fontId="10" fillId="0" borderId="10" xfId="0" applyFont="1" applyBorder="1" applyAlignment="1">
      <alignment vertical="center"/>
    </xf>
    <xf numFmtId="2" fontId="1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11" fillId="0" borderId="10" xfId="0" applyFont="1" applyBorder="1" applyAlignment="1">
      <alignment horizontal="center" wrapText="1"/>
    </xf>
    <xf numFmtId="2" fontId="11" fillId="0" borderId="10" xfId="0" applyNumberFormat="1" applyFont="1" applyFill="1" applyBorder="1" applyAlignment="1">
      <alignment horizontal="center"/>
    </xf>
    <xf numFmtId="2" fontId="11" fillId="0" borderId="10" xfId="0" applyNumberFormat="1" applyFont="1" applyFill="1" applyBorder="1" applyAlignment="1">
      <alignment horizontal="center" wrapText="1"/>
    </xf>
    <xf numFmtId="2" fontId="12" fillId="0" borderId="10" xfId="0" applyNumberFormat="1" applyFont="1" applyFill="1" applyBorder="1" applyAlignment="1">
      <alignment horizontal="center" wrapText="1"/>
    </xf>
    <xf numFmtId="0" fontId="12" fillId="0" borderId="10" xfId="0" applyFont="1" applyBorder="1" applyAlignment="1">
      <alignment horizontal="left" wrapText="1"/>
    </xf>
    <xf numFmtId="0" fontId="11" fillId="0" borderId="0" xfId="0" applyFont="1" applyBorder="1" applyAlignment="1">
      <alignment vertical="center"/>
    </xf>
    <xf numFmtId="0" fontId="11" fillId="0" borderId="12" xfId="0" applyFont="1" applyBorder="1" applyAlignment="1">
      <alignment vertical="center"/>
    </xf>
    <xf numFmtId="0" fontId="9" fillId="0" borderId="0" xfId="0" applyFont="1" applyFill="1" applyBorder="1" applyAlignment="1">
      <alignment vertical="center"/>
    </xf>
    <xf numFmtId="0" fontId="13" fillId="0" borderId="0" xfId="0" applyFont="1" applyBorder="1" applyAlignment="1">
      <alignment horizontal="left" vertical="center"/>
    </xf>
    <xf numFmtId="0" fontId="4" fillId="0" borderId="0" xfId="0" applyFont="1" applyAlignment="1">
      <alignment horizontal="left" vertical="center"/>
    </xf>
    <xf numFmtId="0" fontId="9" fillId="0" borderId="0" xfId="0" applyFont="1" applyFill="1" applyBorder="1" applyAlignment="1">
      <alignment horizontal="left" vertical="center"/>
    </xf>
    <xf numFmtId="0" fontId="13" fillId="0" borderId="0" xfId="0" applyFont="1" applyBorder="1" applyAlignment="1">
      <alignment vertical="center"/>
    </xf>
    <xf numFmtId="0" fontId="4" fillId="0" borderId="0" xfId="0" applyFont="1" applyFill="1" applyAlignment="1">
      <alignment horizontal="center" vertical="center"/>
    </xf>
    <xf numFmtId="2" fontId="4" fillId="0" borderId="11" xfId="0" applyNumberFormat="1" applyFont="1" applyFill="1" applyBorder="1" applyAlignment="1">
      <alignment horizontal="center" vertical="center" wrapText="1"/>
    </xf>
    <xf numFmtId="0" fontId="10" fillId="0" borderId="10" xfId="0" applyFont="1" applyFill="1" applyBorder="1" applyAlignment="1">
      <alignment horizontal="center" wrapText="1"/>
    </xf>
    <xf numFmtId="2" fontId="10" fillId="0" borderId="10" xfId="0" applyNumberFormat="1" applyFont="1" applyFill="1" applyBorder="1" applyAlignment="1">
      <alignment horizontal="center"/>
    </xf>
    <xf numFmtId="0" fontId="12"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2" fontId="10" fillId="0" borderId="10" xfId="0" applyNumberFormat="1" applyFont="1" applyFill="1" applyBorder="1" applyAlignment="1">
      <alignment horizontal="center" wrapText="1"/>
    </xf>
    <xf numFmtId="2" fontId="4" fillId="0" borderId="10" xfId="0" applyNumberFormat="1" applyFont="1" applyFill="1" applyBorder="1" applyAlignment="1">
      <alignment horizontal="center"/>
    </xf>
    <xf numFmtId="2" fontId="4" fillId="0" borderId="11" xfId="0" applyNumberFormat="1" applyFont="1" applyFill="1" applyBorder="1" applyAlignment="1">
      <alignment horizontal="center" wrapText="1"/>
    </xf>
    <xf numFmtId="2"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2" fontId="4" fillId="0" borderId="10" xfId="0" applyNumberFormat="1" applyFont="1" applyFill="1" applyBorder="1" applyAlignment="1">
      <alignment vertical="center" wrapText="1"/>
    </xf>
    <xf numFmtId="0" fontId="11" fillId="0" borderId="10" xfId="0" applyFont="1" applyFill="1" applyBorder="1" applyAlignment="1">
      <alignment horizontal="center" vertical="top" wrapText="1"/>
    </xf>
    <xf numFmtId="2" fontId="4" fillId="0" borderId="13"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0" fontId="13" fillId="0" borderId="0" xfId="0" applyFont="1" applyFill="1" applyBorder="1" applyAlignment="1">
      <alignment horizontal="center" vertical="center"/>
    </xf>
    <xf numFmtId="2" fontId="13"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9" fillId="0" borderId="0" xfId="0" applyNumberFormat="1" applyFont="1" applyFill="1" applyBorder="1" applyAlignment="1">
      <alignment vertical="center"/>
    </xf>
    <xf numFmtId="2" fontId="14" fillId="0" borderId="10" xfId="0" applyNumberFormat="1" applyFont="1" applyFill="1" applyBorder="1" applyAlignment="1">
      <alignment horizontal="center" vertical="center" wrapText="1"/>
    </xf>
    <xf numFmtId="2" fontId="13" fillId="0" borderId="0" xfId="0" applyNumberFormat="1" applyFont="1" applyFill="1" applyAlignment="1">
      <alignment vertical="center"/>
    </xf>
    <xf numFmtId="2" fontId="15" fillId="0" borderId="10"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2" fontId="16" fillId="0" borderId="11"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Border="1" applyAlignment="1">
      <alignment horizontal="center" vertical="center" wrapText="1"/>
    </xf>
    <xf numFmtId="2" fontId="17" fillId="0"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2" fontId="4" fillId="0" borderId="13" xfId="0" applyNumberFormat="1" applyFont="1" applyBorder="1" applyAlignment="1">
      <alignment horizontal="center" vertical="center" wrapText="1"/>
    </xf>
    <xf numFmtId="0" fontId="17" fillId="0" borderId="1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2" fontId="11" fillId="0" borderId="11" xfId="0" applyNumberFormat="1" applyFont="1" applyBorder="1" applyAlignment="1">
      <alignment horizontal="center" vertical="center" wrapText="1"/>
    </xf>
    <xf numFmtId="0" fontId="11" fillId="0" borderId="13" xfId="0" applyFont="1" applyFill="1" applyBorder="1" applyAlignment="1">
      <alignment horizontal="left" vertical="center" wrapText="1"/>
    </xf>
    <xf numFmtId="2" fontId="11" fillId="0" borderId="11" xfId="0" applyNumberFormat="1" applyFont="1" applyFill="1" applyBorder="1" applyAlignment="1">
      <alignment horizontal="center" vertical="center" wrapText="1"/>
    </xf>
    <xf numFmtId="2" fontId="10" fillId="0" borderId="11" xfId="0" applyNumberFormat="1" applyFont="1" applyBorder="1" applyAlignment="1">
      <alignment horizontal="center" vertical="center"/>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7" fillId="0" borderId="14" xfId="0" applyFont="1" applyBorder="1" applyAlignment="1">
      <alignment horizontal="left" vertical="center" wrapText="1"/>
    </xf>
    <xf numFmtId="2" fontId="7" fillId="0" borderId="10" xfId="0" applyNumberFormat="1" applyFont="1" applyFill="1" applyBorder="1" applyAlignment="1">
      <alignment horizontal="center" vertical="center" wrapText="1"/>
    </xf>
    <xf numFmtId="2" fontId="12" fillId="0" borderId="11" xfId="0" applyNumberFormat="1" applyFont="1" applyBorder="1" applyAlignment="1">
      <alignment horizontal="center" vertical="center" wrapText="1"/>
    </xf>
    <xf numFmtId="0" fontId="7" fillId="0" borderId="13" xfId="0" applyFont="1" applyBorder="1" applyAlignment="1">
      <alignment horizontal="center" vertical="center" wrapText="1"/>
    </xf>
    <xf numFmtId="2" fontId="17" fillId="0" borderId="10" xfId="0" applyNumberFormat="1" applyFont="1" applyFill="1" applyBorder="1" applyAlignment="1">
      <alignment horizontal="center" vertical="center" wrapText="1"/>
    </xf>
    <xf numFmtId="2" fontId="10" fillId="0" borderId="11" xfId="0" applyNumberFormat="1" applyFont="1" applyBorder="1" applyAlignment="1">
      <alignment horizontal="center" vertical="center" wrapText="1"/>
    </xf>
    <xf numFmtId="0" fontId="7"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2"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2" fontId="7" fillId="0" borderId="10" xfId="0" applyNumberFormat="1" applyFont="1" applyFill="1" applyBorder="1" applyAlignment="1">
      <alignment horizont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2" fontId="7" fillId="0" borderId="11" xfId="0" applyNumberFormat="1" applyFont="1" applyFill="1" applyBorder="1" applyAlignment="1">
      <alignment horizontal="center" vertical="center" wrapText="1"/>
    </xf>
    <xf numFmtId="0" fontId="10" fillId="0" borderId="10" xfId="0" applyFont="1" applyFill="1" applyBorder="1" applyAlignment="1">
      <alignment vertical="center"/>
    </xf>
    <xf numFmtId="0" fontId="4" fillId="0" borderId="10" xfId="0" applyFont="1" applyFill="1" applyBorder="1" applyAlignment="1">
      <alignment horizontal="center" wrapText="1"/>
    </xf>
    <xf numFmtId="0" fontId="52" fillId="0" borderId="13" xfId="0" applyFont="1" applyBorder="1" applyAlignment="1">
      <alignment vertical="center"/>
    </xf>
    <xf numFmtId="0" fontId="53" fillId="0" borderId="13" xfId="0" applyFont="1" applyBorder="1" applyAlignment="1">
      <alignment vertical="center"/>
    </xf>
    <xf numFmtId="2" fontId="7" fillId="0" borderId="10" xfId="53" applyNumberFormat="1" applyFont="1" applyFill="1" applyBorder="1" applyAlignment="1">
      <alignment horizontal="center" vertical="center" wrapText="1"/>
      <protection/>
    </xf>
    <xf numFmtId="2" fontId="7" fillId="0" borderId="13" xfId="0" applyNumberFormat="1" applyFont="1" applyFill="1" applyBorder="1" applyAlignment="1">
      <alignment horizontal="center" vertical="center" wrapText="1"/>
    </xf>
    <xf numFmtId="0" fontId="11" fillId="0" borderId="13" xfId="0" applyFont="1" applyBorder="1" applyAlignment="1">
      <alignment vertical="center" wrapText="1"/>
    </xf>
    <xf numFmtId="0" fontId="3" fillId="0" borderId="10" xfId="0" applyFont="1" applyFill="1" applyBorder="1" applyAlignment="1">
      <alignment vertical="center" wrapText="1"/>
    </xf>
    <xf numFmtId="0" fontId="7" fillId="0" borderId="10" xfId="0" applyFont="1" applyBorder="1" applyAlignment="1">
      <alignment vertical="center" wrapText="1"/>
    </xf>
    <xf numFmtId="2" fontId="2" fillId="0" borderId="10" xfId="0" applyNumberFormat="1" applyFont="1" applyFill="1" applyBorder="1" applyAlignment="1">
      <alignment horizontal="center" vertical="center"/>
    </xf>
    <xf numFmtId="0" fontId="2"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0" xfId="0" applyFont="1" applyFill="1" applyBorder="1" applyAlignment="1">
      <alignment vertical="center"/>
    </xf>
    <xf numFmtId="0" fontId="11"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11" fillId="0" borderId="11" xfId="0" applyFont="1" applyFill="1" applyBorder="1" applyAlignment="1">
      <alignment horizontal="left" vertical="center" wrapText="1"/>
    </xf>
    <xf numFmtId="0" fontId="52" fillId="0" borderId="13" xfId="0" applyFont="1" applyFill="1" applyBorder="1" applyAlignment="1">
      <alignment vertical="center"/>
    </xf>
    <xf numFmtId="0" fontId="7" fillId="0" borderId="10" xfId="0" applyFont="1" applyFill="1" applyBorder="1" applyAlignment="1">
      <alignment horizontal="left" vertical="center" wrapText="1"/>
    </xf>
    <xf numFmtId="0" fontId="53" fillId="0" borderId="13" xfId="0" applyFont="1" applyFill="1" applyBorder="1" applyAlignment="1">
      <alignment vertical="center"/>
    </xf>
    <xf numFmtId="0" fontId="7" fillId="0" borderId="13" xfId="0" applyFont="1" applyFill="1" applyBorder="1" applyAlignment="1">
      <alignment horizontal="left" vertical="center" wrapText="1"/>
    </xf>
    <xf numFmtId="0" fontId="11"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1" fillId="0" borderId="13" xfId="0" applyFont="1" applyFill="1" applyBorder="1" applyAlignment="1">
      <alignment vertical="center" wrapText="1"/>
    </xf>
    <xf numFmtId="0" fontId="7" fillId="0" borderId="14" xfId="0" applyFont="1" applyFill="1" applyBorder="1" applyAlignment="1">
      <alignment horizontal="left" vertical="center" wrapText="1"/>
    </xf>
    <xf numFmtId="0" fontId="12" fillId="0" borderId="10" xfId="0" applyFont="1" applyFill="1" applyBorder="1" applyAlignment="1">
      <alignment vertical="center" wrapText="1"/>
    </xf>
    <xf numFmtId="0" fontId="11" fillId="0" borderId="10" xfId="0" applyFont="1" applyFill="1" applyBorder="1" applyAlignment="1">
      <alignment horizontal="center" wrapText="1"/>
    </xf>
    <xf numFmtId="0" fontId="7" fillId="0" borderId="11" xfId="0" applyFont="1" applyFill="1" applyBorder="1" applyAlignment="1">
      <alignment horizontal="left" vertical="center" wrapText="1"/>
    </xf>
    <xf numFmtId="0" fontId="7" fillId="0" borderId="10" xfId="0" applyFont="1" applyFill="1" applyBorder="1" applyAlignment="1">
      <alignment vertical="center" wrapText="1"/>
    </xf>
    <xf numFmtId="0" fontId="11" fillId="0" borderId="10" xfId="0" applyFont="1" applyFill="1" applyBorder="1" applyAlignment="1">
      <alignment horizontal="right" vertical="center" wrapText="1"/>
    </xf>
    <xf numFmtId="0" fontId="11" fillId="0" borderId="13" xfId="0" applyNumberFormat="1" applyFont="1" applyFill="1" applyBorder="1" applyAlignment="1">
      <alignment horizontal="left" vertical="center" wrapText="1"/>
    </xf>
    <xf numFmtId="0" fontId="12" fillId="0" borderId="10" xfId="0" applyFont="1" applyFill="1" applyBorder="1" applyAlignment="1">
      <alignment horizontal="left" wrapText="1"/>
    </xf>
    <xf numFmtId="2" fontId="11" fillId="0" borderId="13" xfId="0" applyNumberFormat="1" applyFont="1" applyBorder="1" applyAlignment="1">
      <alignment horizontal="center" vertical="center" wrapText="1"/>
    </xf>
    <xf numFmtId="0" fontId="4" fillId="0" borderId="10" xfId="0" applyFont="1" applyFill="1" applyBorder="1" applyAlignment="1">
      <alignment vertical="center" wrapText="1"/>
    </xf>
    <xf numFmtId="2" fontId="2" fillId="0" borderId="11"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4" fillId="0" borderId="13" xfId="0" applyFont="1" applyFill="1" applyBorder="1" applyAlignment="1">
      <alignment vertical="center" wrapText="1"/>
    </xf>
    <xf numFmtId="0" fontId="53" fillId="0" borderId="13" xfId="0" applyFont="1" applyFill="1" applyBorder="1" applyAlignment="1">
      <alignment vertical="center" wrapText="1"/>
    </xf>
    <xf numFmtId="0" fontId="2" fillId="0" borderId="1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2" fontId="13" fillId="0" borderId="0" xfId="0" applyNumberFormat="1" applyFont="1" applyFill="1" applyBorder="1" applyAlignment="1">
      <alignment vertical="center"/>
    </xf>
    <xf numFmtId="0" fontId="3" fillId="0" borderId="13" xfId="0" applyFont="1" applyFill="1" applyBorder="1" applyAlignment="1">
      <alignment vertical="center" wrapText="1"/>
    </xf>
    <xf numFmtId="2" fontId="10" fillId="0" borderId="13" xfId="0" applyNumberFormat="1" applyFont="1" applyBorder="1" applyAlignment="1">
      <alignment horizontal="center" vertical="center" wrapText="1"/>
    </xf>
    <xf numFmtId="0" fontId="10" fillId="0" borderId="13" xfId="0" applyFont="1" applyBorder="1" applyAlignment="1">
      <alignment horizontal="left" vertical="center" wrapText="1"/>
    </xf>
    <xf numFmtId="0" fontId="3" fillId="0" borderId="14" xfId="0" applyFont="1" applyFill="1" applyBorder="1" applyAlignment="1">
      <alignment horizontal="left" vertical="center" wrapText="1"/>
    </xf>
    <xf numFmtId="2" fontId="7" fillId="10" borderId="10" xfId="0" applyNumberFormat="1" applyFont="1" applyFill="1" applyBorder="1" applyAlignment="1">
      <alignment horizontal="center" vertical="center" wrapText="1"/>
    </xf>
    <xf numFmtId="2" fontId="3" fillId="10" borderId="10" xfId="0" applyNumberFormat="1" applyFont="1" applyFill="1" applyBorder="1" applyAlignment="1">
      <alignment horizontal="center" vertical="center" wrapText="1"/>
    </xf>
    <xf numFmtId="2" fontId="2" fillId="10" borderId="10" xfId="0" applyNumberFormat="1" applyFont="1" applyFill="1" applyBorder="1" applyAlignment="1">
      <alignment horizontal="center" vertical="center"/>
    </xf>
    <xf numFmtId="2" fontId="11" fillId="10" borderId="10" xfId="0" applyNumberFormat="1" applyFont="1" applyFill="1" applyBorder="1" applyAlignment="1">
      <alignment horizontal="center" vertical="center" wrapText="1"/>
    </xf>
    <xf numFmtId="2" fontId="4" fillId="10" borderId="10" xfId="0" applyNumberFormat="1" applyFont="1" applyFill="1" applyBorder="1" applyAlignment="1">
      <alignment horizontal="center" vertical="center" wrapText="1"/>
    </xf>
    <xf numFmtId="2" fontId="4" fillId="10" borderId="10" xfId="0" applyNumberFormat="1" applyFont="1" applyFill="1" applyBorder="1" applyAlignment="1">
      <alignment horizontal="center" vertical="center"/>
    </xf>
    <xf numFmtId="2" fontId="10" fillId="10" borderId="0" xfId="0" applyNumberFormat="1" applyFont="1" applyFill="1" applyBorder="1" applyAlignment="1">
      <alignment vertical="center"/>
    </xf>
    <xf numFmtId="2" fontId="3" fillId="12" borderId="10" xfId="0" applyNumberFormat="1" applyFont="1" applyFill="1" applyBorder="1" applyAlignment="1">
      <alignment horizontal="center" vertical="center" wrapText="1"/>
    </xf>
    <xf numFmtId="2" fontId="4" fillId="12" borderId="10" xfId="0" applyNumberFormat="1" applyFont="1" applyFill="1" applyBorder="1" applyAlignment="1">
      <alignment horizontal="center" vertical="center"/>
    </xf>
    <xf numFmtId="2" fontId="7" fillId="12" borderId="10" xfId="0" applyNumberFormat="1" applyFont="1" applyFill="1" applyBorder="1" applyAlignment="1">
      <alignment horizontal="center" vertical="center" wrapText="1"/>
    </xf>
    <xf numFmtId="2" fontId="3" fillId="12" borderId="10" xfId="0" applyNumberFormat="1" applyFont="1" applyFill="1" applyBorder="1" applyAlignment="1">
      <alignment horizontal="center" vertical="center"/>
    </xf>
    <xf numFmtId="2" fontId="10" fillId="12" borderId="0" xfId="0" applyNumberFormat="1" applyFont="1" applyFill="1" applyBorder="1" applyAlignment="1">
      <alignment vertical="center"/>
    </xf>
    <xf numFmtId="2" fontId="10" fillId="13" borderId="0" xfId="0" applyNumberFormat="1" applyFont="1" applyFill="1" applyBorder="1" applyAlignment="1">
      <alignment vertical="center"/>
    </xf>
    <xf numFmtId="2" fontId="3" fillId="13"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2" fontId="10" fillId="33" borderId="0" xfId="0" applyNumberFormat="1" applyFont="1" applyFill="1" applyBorder="1" applyAlignment="1">
      <alignment vertical="center"/>
    </xf>
    <xf numFmtId="2" fontId="10" fillId="34" borderId="0" xfId="0" applyNumberFormat="1" applyFont="1" applyFill="1" applyBorder="1" applyAlignment="1">
      <alignment vertical="center"/>
    </xf>
    <xf numFmtId="2" fontId="3" fillId="34" borderId="10" xfId="0" applyNumberFormat="1" applyFont="1" applyFill="1" applyBorder="1" applyAlignment="1">
      <alignment horizontal="center" vertical="center" wrapText="1"/>
    </xf>
    <xf numFmtId="2" fontId="7" fillId="11" borderId="13" xfId="0" applyNumberFormat="1" applyFont="1" applyFill="1" applyBorder="1" applyAlignment="1">
      <alignment horizontal="center" vertical="center" wrapText="1"/>
    </xf>
    <xf numFmtId="2" fontId="3" fillId="11" borderId="10" xfId="0" applyNumberFormat="1" applyFont="1" applyFill="1" applyBorder="1" applyAlignment="1">
      <alignment horizontal="center" vertical="center" wrapText="1"/>
    </xf>
    <xf numFmtId="2" fontId="10" fillId="11" borderId="0" xfId="0" applyNumberFormat="1" applyFont="1" applyFill="1" applyBorder="1" applyAlignment="1">
      <alignment vertical="center"/>
    </xf>
    <xf numFmtId="2" fontId="3" fillId="35" borderId="10" xfId="0" applyNumberFormat="1" applyFont="1" applyFill="1" applyBorder="1" applyAlignment="1">
      <alignment horizontal="center" vertical="center" wrapText="1"/>
    </xf>
    <xf numFmtId="2" fontId="4" fillId="35" borderId="10" xfId="0" applyNumberFormat="1" applyFont="1" applyFill="1" applyBorder="1" applyAlignment="1">
      <alignment horizontal="center" vertical="center"/>
    </xf>
    <xf numFmtId="2" fontId="10" fillId="35" borderId="0" xfId="0" applyNumberFormat="1" applyFont="1" applyFill="1" applyBorder="1" applyAlignment="1">
      <alignment vertical="center"/>
    </xf>
    <xf numFmtId="2" fontId="4" fillId="36" borderId="10" xfId="0" applyNumberFormat="1" applyFont="1" applyFill="1" applyBorder="1" applyAlignment="1">
      <alignment horizontal="center" vertical="center"/>
    </xf>
    <xf numFmtId="2" fontId="7" fillId="36" borderId="10" xfId="0" applyNumberFormat="1" applyFont="1" applyFill="1" applyBorder="1" applyAlignment="1">
      <alignment horizontal="center" vertical="center" wrapText="1"/>
    </xf>
    <xf numFmtId="2" fontId="10" fillId="36" borderId="0" xfId="0" applyNumberFormat="1" applyFont="1" applyFill="1" applyBorder="1" applyAlignment="1">
      <alignment vertical="center"/>
    </xf>
    <xf numFmtId="2" fontId="3" fillId="37" borderId="10" xfId="0" applyNumberFormat="1" applyFont="1" applyFill="1" applyBorder="1" applyAlignment="1">
      <alignment horizontal="center" vertical="center" wrapText="1"/>
    </xf>
    <xf numFmtId="2" fontId="7" fillId="37" borderId="10" xfId="0" applyNumberFormat="1" applyFont="1" applyFill="1" applyBorder="1" applyAlignment="1">
      <alignment horizontal="center" vertical="center" wrapText="1"/>
    </xf>
    <xf numFmtId="2" fontId="4" fillId="37" borderId="10" xfId="0" applyNumberFormat="1" applyFont="1" applyFill="1" applyBorder="1" applyAlignment="1">
      <alignment horizontal="center" vertical="center"/>
    </xf>
    <xf numFmtId="2" fontId="10" fillId="37" borderId="0" xfId="0" applyNumberFormat="1" applyFont="1" applyFill="1" applyBorder="1" applyAlignment="1">
      <alignment vertical="center"/>
    </xf>
    <xf numFmtId="2" fontId="7" fillId="38" borderId="10" xfId="0" applyNumberFormat="1" applyFont="1" applyFill="1" applyBorder="1" applyAlignment="1">
      <alignment horizontal="center" vertical="center" wrapText="1"/>
    </xf>
    <xf numFmtId="2" fontId="10" fillId="38" borderId="0" xfId="0" applyNumberFormat="1" applyFont="1" applyFill="1" applyBorder="1" applyAlignment="1">
      <alignment vertical="center"/>
    </xf>
    <xf numFmtId="0" fontId="10" fillId="39" borderId="0" xfId="0" applyFont="1" applyFill="1" applyBorder="1" applyAlignment="1">
      <alignment vertical="center"/>
    </xf>
    <xf numFmtId="0" fontId="4" fillId="39" borderId="10" xfId="0" applyFont="1" applyFill="1" applyBorder="1" applyAlignment="1">
      <alignment horizontal="center" vertical="center" wrapText="1"/>
    </xf>
    <xf numFmtId="2" fontId="4" fillId="40" borderId="10" xfId="0" applyNumberFormat="1" applyFont="1" applyFill="1" applyBorder="1" applyAlignment="1">
      <alignment horizontal="center" vertical="center"/>
    </xf>
    <xf numFmtId="2" fontId="10" fillId="40" borderId="0" xfId="0" applyNumberFormat="1" applyFont="1" applyFill="1" applyBorder="1" applyAlignment="1">
      <alignment vertical="center"/>
    </xf>
    <xf numFmtId="2" fontId="10" fillId="41" borderId="0" xfId="0" applyNumberFormat="1" applyFont="1" applyFill="1" applyBorder="1" applyAlignment="1">
      <alignment vertical="center"/>
    </xf>
    <xf numFmtId="2" fontId="3" fillId="41" borderId="10" xfId="0" applyNumberFormat="1" applyFont="1" applyFill="1" applyBorder="1" applyAlignment="1">
      <alignment horizontal="center" vertical="center" wrapText="1"/>
    </xf>
    <xf numFmtId="2" fontId="4" fillId="42" borderId="10" xfId="0" applyNumberFormat="1" applyFont="1" applyFill="1" applyBorder="1" applyAlignment="1">
      <alignment horizontal="center" vertical="center" wrapText="1"/>
    </xf>
    <xf numFmtId="0" fontId="4" fillId="42" borderId="10" xfId="0" applyFont="1" applyFill="1" applyBorder="1" applyAlignment="1">
      <alignment horizontal="center" vertical="center" wrapText="1"/>
    </xf>
    <xf numFmtId="2" fontId="3" fillId="42" borderId="10" xfId="0" applyNumberFormat="1" applyFont="1" applyFill="1" applyBorder="1" applyAlignment="1">
      <alignment horizontal="center" vertical="center"/>
    </xf>
    <xf numFmtId="2" fontId="11" fillId="42" borderId="0" xfId="0" applyNumberFormat="1" applyFont="1" applyFill="1" applyBorder="1" applyAlignment="1">
      <alignment vertical="center"/>
    </xf>
    <xf numFmtId="0" fontId="19" fillId="0" borderId="10" xfId="0" applyFont="1" applyFill="1" applyBorder="1" applyAlignment="1">
      <alignment vertical="center" wrapText="1"/>
    </xf>
    <xf numFmtId="2" fontId="11" fillId="43" borderId="10" xfId="0" applyNumberFormat="1" applyFont="1" applyFill="1" applyBorder="1" applyAlignment="1">
      <alignment horizontal="center" vertical="center" wrapText="1"/>
    </xf>
    <xf numFmtId="2" fontId="3" fillId="43" borderId="10" xfId="0" applyNumberFormat="1" applyFont="1" applyFill="1" applyBorder="1" applyAlignment="1">
      <alignment horizontal="center" vertical="center" wrapText="1"/>
    </xf>
    <xf numFmtId="2" fontId="4" fillId="43" borderId="10" xfId="0" applyNumberFormat="1" applyFont="1" applyFill="1" applyBorder="1" applyAlignment="1">
      <alignment horizontal="center" vertical="center" wrapText="1"/>
    </xf>
    <xf numFmtId="2" fontId="7" fillId="43" borderId="10" xfId="0" applyNumberFormat="1" applyFont="1" applyFill="1" applyBorder="1" applyAlignment="1">
      <alignment horizontal="center" vertical="center" wrapText="1"/>
    </xf>
    <xf numFmtId="2" fontId="4" fillId="43" borderId="10" xfId="0" applyNumberFormat="1" applyFont="1" applyFill="1" applyBorder="1" applyAlignment="1">
      <alignment horizontal="center" vertical="center"/>
    </xf>
    <xf numFmtId="2" fontId="2" fillId="43" borderId="10" xfId="0" applyNumberFormat="1" applyFont="1" applyFill="1" applyBorder="1" applyAlignment="1">
      <alignment horizontal="center" vertical="center"/>
    </xf>
    <xf numFmtId="2" fontId="11" fillId="43" borderId="0" xfId="0" applyNumberFormat="1" applyFont="1" applyFill="1" applyBorder="1" applyAlignment="1">
      <alignment vertical="center"/>
    </xf>
    <xf numFmtId="2" fontId="4" fillId="44" borderId="10" xfId="0" applyNumberFormat="1" applyFont="1" applyFill="1" applyBorder="1" applyAlignment="1">
      <alignment horizontal="center" vertical="center" wrapText="1"/>
    </xf>
    <xf numFmtId="0" fontId="4" fillId="44" borderId="10" xfId="0" applyFont="1" applyFill="1" applyBorder="1" applyAlignment="1">
      <alignment horizontal="center" vertical="center" wrapText="1"/>
    </xf>
    <xf numFmtId="2" fontId="4" fillId="44" borderId="0" xfId="0" applyNumberFormat="1" applyFont="1" applyFill="1" applyBorder="1" applyAlignment="1">
      <alignment horizontal="right" vertical="center"/>
    </xf>
    <xf numFmtId="2" fontId="4" fillId="45" borderId="0" xfId="0" applyNumberFormat="1" applyFont="1" applyFill="1" applyBorder="1" applyAlignment="1">
      <alignment vertical="center"/>
    </xf>
    <xf numFmtId="2" fontId="3" fillId="45" borderId="10" xfId="0" applyNumberFormat="1" applyFont="1" applyFill="1" applyBorder="1" applyAlignment="1">
      <alignment horizontal="center" vertical="center" wrapText="1"/>
    </xf>
    <xf numFmtId="2" fontId="11" fillId="46" borderId="10" xfId="0" applyNumberFormat="1" applyFont="1" applyFill="1" applyBorder="1" applyAlignment="1">
      <alignment horizontal="center" vertical="center" wrapText="1"/>
    </xf>
    <xf numFmtId="2" fontId="4" fillId="46" borderId="0" xfId="0" applyNumberFormat="1" applyFont="1" applyFill="1" applyBorder="1" applyAlignment="1">
      <alignment vertical="center"/>
    </xf>
    <xf numFmtId="2" fontId="7" fillId="47" borderId="10" xfId="0" applyNumberFormat="1" applyFont="1" applyFill="1" applyBorder="1" applyAlignment="1">
      <alignment horizontal="center" vertical="center" wrapText="1"/>
    </xf>
    <xf numFmtId="2" fontId="4" fillId="47" borderId="10" xfId="0" applyNumberFormat="1" applyFont="1" applyFill="1" applyBorder="1" applyAlignment="1">
      <alignment horizontal="center" vertical="center" wrapText="1"/>
    </xf>
    <xf numFmtId="2" fontId="4" fillId="47" borderId="0" xfId="0" applyNumberFormat="1" applyFont="1" applyFill="1" applyBorder="1" applyAlignment="1">
      <alignment vertical="center"/>
    </xf>
    <xf numFmtId="2" fontId="4" fillId="48" borderId="10" xfId="0" applyNumberFormat="1" applyFont="1" applyFill="1" applyBorder="1" applyAlignment="1">
      <alignment horizontal="center" vertical="center" wrapText="1"/>
    </xf>
    <xf numFmtId="2" fontId="4" fillId="48" borderId="0" xfId="0" applyNumberFormat="1" applyFont="1" applyFill="1" applyBorder="1" applyAlignment="1">
      <alignment vertical="center"/>
    </xf>
    <xf numFmtId="2" fontId="4" fillId="49" borderId="10" xfId="0" applyNumberFormat="1" applyFont="1" applyFill="1" applyBorder="1" applyAlignment="1">
      <alignment horizontal="center" vertical="center" wrapText="1"/>
    </xf>
    <xf numFmtId="2" fontId="4" fillId="49" borderId="0" xfId="0" applyNumberFormat="1" applyFont="1" applyFill="1" applyBorder="1" applyAlignment="1">
      <alignment vertical="center"/>
    </xf>
    <xf numFmtId="2" fontId="4" fillId="50" borderId="10" xfId="0" applyNumberFormat="1" applyFont="1" applyFill="1" applyBorder="1" applyAlignment="1">
      <alignment horizontal="center" vertical="center" wrapText="1"/>
    </xf>
    <xf numFmtId="2" fontId="4" fillId="50" borderId="0" xfId="0" applyNumberFormat="1" applyFont="1" applyFill="1" applyBorder="1" applyAlignment="1">
      <alignment vertical="center"/>
    </xf>
    <xf numFmtId="0" fontId="11" fillId="0" borderId="11"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2" fontId="12" fillId="0" borderId="13"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2" fontId="11" fillId="0" borderId="11" xfId="0" applyNumberFormat="1" applyFont="1" applyFill="1" applyBorder="1" applyAlignment="1">
      <alignment horizontal="center" vertical="center" wrapText="1"/>
    </xf>
    <xf numFmtId="2" fontId="11"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2" fontId="12" fillId="0" borderId="14" xfId="0" applyNumberFormat="1" applyFont="1" applyFill="1" applyBorder="1" applyAlignment="1">
      <alignment horizontal="center" vertical="center" wrapText="1"/>
    </xf>
    <xf numFmtId="2" fontId="11" fillId="0" borderId="13" xfId="0" applyNumberFormat="1" applyFont="1" applyFill="1" applyBorder="1" applyAlignment="1">
      <alignment horizontal="center" vertical="center" wrapText="1"/>
    </xf>
    <xf numFmtId="2" fontId="11" fillId="0" borderId="11"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2" fontId="11"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10" xfId="0" applyFont="1" applyFill="1" applyBorder="1" applyAlignment="1">
      <alignment horizontal="center" vertical="center" wrapText="1"/>
    </xf>
    <xf numFmtId="2" fontId="11" fillId="0" borderId="11" xfId="0" applyNumberFormat="1" applyFont="1" applyFill="1" applyBorder="1" applyAlignment="1">
      <alignment horizontal="center" vertical="center"/>
    </xf>
    <xf numFmtId="2" fontId="11" fillId="0" borderId="14" xfId="0" applyNumberFormat="1" applyFont="1" applyFill="1" applyBorder="1" applyAlignment="1">
      <alignment horizontal="center" vertical="center"/>
    </xf>
    <xf numFmtId="2" fontId="11" fillId="0" borderId="13" xfId="0" applyNumberFormat="1" applyFont="1" applyFill="1" applyBorder="1" applyAlignment="1">
      <alignment horizontal="center" vertical="center"/>
    </xf>
    <xf numFmtId="2" fontId="4" fillId="0" borderId="11"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188" fontId="11" fillId="0" borderId="11" xfId="0" applyNumberFormat="1" applyFont="1" applyFill="1" applyBorder="1" applyAlignment="1">
      <alignment horizontal="center" vertical="center"/>
    </xf>
    <xf numFmtId="188" fontId="11" fillId="0" borderId="14" xfId="0" applyNumberFormat="1" applyFont="1" applyFill="1" applyBorder="1" applyAlignment="1">
      <alignment horizontal="center" vertical="center"/>
    </xf>
    <xf numFmtId="188" fontId="11" fillId="0" borderId="13" xfId="0" applyNumberFormat="1" applyFont="1" applyFill="1" applyBorder="1" applyAlignment="1">
      <alignment horizontal="center" vertical="center"/>
    </xf>
    <xf numFmtId="0" fontId="4" fillId="0" borderId="14" xfId="0" applyFont="1" applyFill="1" applyBorder="1" applyAlignment="1">
      <alignment horizontal="left" vertical="center" wrapText="1"/>
    </xf>
    <xf numFmtId="2" fontId="4" fillId="0" borderId="11" xfId="0" applyNumberFormat="1" applyFont="1" applyBorder="1" applyAlignment="1">
      <alignment horizontal="center" vertical="center"/>
    </xf>
    <xf numFmtId="2" fontId="4" fillId="0" borderId="14" xfId="0" applyNumberFormat="1" applyFont="1" applyBorder="1" applyAlignment="1">
      <alignment horizontal="center" vertical="center"/>
    </xf>
    <xf numFmtId="2" fontId="4" fillId="0" borderId="13" xfId="0" applyNumberFormat="1" applyFont="1" applyBorder="1" applyAlignment="1">
      <alignment horizontal="center" vertical="center"/>
    </xf>
    <xf numFmtId="0" fontId="11" fillId="0" borderId="10" xfId="0" applyFont="1" applyFill="1" applyBorder="1" applyAlignment="1">
      <alignment horizontal="left" vertical="center" wrapText="1"/>
    </xf>
    <xf numFmtId="2" fontId="11" fillId="0" borderId="10" xfId="0" applyNumberFormat="1" applyFont="1" applyBorder="1" applyAlignment="1">
      <alignment horizontal="center" vertical="center" wrapText="1"/>
    </xf>
    <xf numFmtId="0" fontId="1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xf>
    <xf numFmtId="2" fontId="11" fillId="0" borderId="10" xfId="0" applyNumberFormat="1" applyFont="1" applyFill="1" applyBorder="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4" xfId="0" applyFont="1" applyBorder="1" applyAlignment="1">
      <alignment horizontal="left" vertical="center" wrapText="1"/>
    </xf>
    <xf numFmtId="0" fontId="11" fillId="0" borderId="13"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Безк. на 0110.16"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J221"/>
  <sheetViews>
    <sheetView zoomScalePageLayoutView="0" workbookViewId="0" topLeftCell="A88">
      <selection activeCell="A88" sqref="A1:IV16384"/>
    </sheetView>
  </sheetViews>
  <sheetFormatPr defaultColWidth="25.7109375" defaultRowHeight="15"/>
  <cols>
    <col min="1" max="1" width="14.28125" style="28" customWidth="1"/>
    <col min="2" max="2" width="10.57421875" style="28" customWidth="1"/>
    <col min="3" max="3" width="39.00390625" style="28" customWidth="1"/>
    <col min="4" max="4" width="11.57421875" style="73" customWidth="1"/>
    <col min="5" max="5" width="22.57421875" style="28" customWidth="1"/>
    <col min="6" max="6" width="9.28125" style="1" customWidth="1"/>
    <col min="7" max="7" width="8.8515625" style="1" customWidth="1"/>
    <col min="8" max="8" width="9.28125" style="1" customWidth="1"/>
    <col min="9" max="9" width="10.421875" style="1" customWidth="1"/>
    <col min="10" max="114" width="25.7109375" style="13" customWidth="1"/>
    <col min="115" max="16384" width="25.7109375" style="1" customWidth="1"/>
  </cols>
  <sheetData>
    <row r="1" spans="3:9" ht="18" customHeight="1">
      <c r="C1" s="28" t="s">
        <v>24</v>
      </c>
      <c r="G1" s="29" t="s">
        <v>49</v>
      </c>
      <c r="I1" s="29"/>
    </row>
    <row r="2" spans="7:9" ht="18" customHeight="1">
      <c r="G2" s="29" t="s">
        <v>45</v>
      </c>
      <c r="I2" s="29"/>
    </row>
    <row r="3" spans="7:9" ht="16.5" customHeight="1">
      <c r="G3" s="29" t="s">
        <v>46</v>
      </c>
      <c r="I3" s="29"/>
    </row>
    <row r="4" spans="7:9" ht="15.75">
      <c r="G4" s="297"/>
      <c r="H4" s="297"/>
      <c r="I4" s="297"/>
    </row>
    <row r="5" spans="1:9" ht="15.75">
      <c r="A5" s="298" t="s">
        <v>19</v>
      </c>
      <c r="B5" s="298"/>
      <c r="C5" s="298"/>
      <c r="D5" s="298"/>
      <c r="E5" s="298"/>
      <c r="F5" s="298"/>
      <c r="G5" s="298"/>
      <c r="H5" s="298"/>
      <c r="I5" s="298"/>
    </row>
    <row r="6" spans="1:9" ht="15.75">
      <c r="A6" s="298" t="s">
        <v>116</v>
      </c>
      <c r="B6" s="298"/>
      <c r="C6" s="298"/>
      <c r="D6" s="298"/>
      <c r="E6" s="298"/>
      <c r="F6" s="298"/>
      <c r="G6" s="298"/>
      <c r="H6" s="298"/>
      <c r="I6" s="298"/>
    </row>
    <row r="7" spans="1:9" ht="26.25" customHeight="1">
      <c r="A7" s="298" t="s">
        <v>20</v>
      </c>
      <c r="B7" s="298"/>
      <c r="C7" s="298"/>
      <c r="D7" s="298"/>
      <c r="E7" s="298"/>
      <c r="F7" s="298"/>
      <c r="G7" s="298"/>
      <c r="H7" s="298"/>
      <c r="I7" s="298"/>
    </row>
    <row r="8" spans="1:10" ht="30" customHeight="1">
      <c r="A8" s="299" t="s">
        <v>21</v>
      </c>
      <c r="B8" s="294" t="s">
        <v>0</v>
      </c>
      <c r="C8" s="294"/>
      <c r="D8" s="294"/>
      <c r="E8" s="294"/>
      <c r="F8" s="294" t="s">
        <v>1</v>
      </c>
      <c r="G8" s="294"/>
      <c r="H8" s="294"/>
      <c r="I8" s="294"/>
      <c r="J8" s="36"/>
    </row>
    <row r="9" spans="1:10" ht="13.5" customHeight="1">
      <c r="A9" s="299"/>
      <c r="B9" s="299" t="s">
        <v>2</v>
      </c>
      <c r="C9" s="299"/>
      <c r="D9" s="299" t="s">
        <v>18</v>
      </c>
      <c r="E9" s="299"/>
      <c r="F9" s="294" t="s">
        <v>2</v>
      </c>
      <c r="G9" s="294"/>
      <c r="H9" s="294" t="s">
        <v>3</v>
      </c>
      <c r="I9" s="295"/>
      <c r="J9" s="36"/>
    </row>
    <row r="10" spans="1:10" ht="22.5" customHeight="1">
      <c r="A10" s="299"/>
      <c r="B10" s="299"/>
      <c r="C10" s="299"/>
      <c r="D10" s="299"/>
      <c r="E10" s="299"/>
      <c r="F10" s="294"/>
      <c r="G10" s="294"/>
      <c r="H10" s="295"/>
      <c r="I10" s="295"/>
      <c r="J10" s="36"/>
    </row>
    <row r="11" spans="1:10" ht="51" customHeight="1">
      <c r="A11" s="299"/>
      <c r="B11" s="16" t="s">
        <v>17</v>
      </c>
      <c r="C11" s="16" t="s">
        <v>4</v>
      </c>
      <c r="D11" s="16" t="s">
        <v>17</v>
      </c>
      <c r="E11" s="16" t="s">
        <v>5</v>
      </c>
      <c r="F11" s="14" t="s">
        <v>17</v>
      </c>
      <c r="G11" s="14" t="s">
        <v>4</v>
      </c>
      <c r="H11" s="14" t="s">
        <v>17</v>
      </c>
      <c r="I11" s="14" t="s">
        <v>6</v>
      </c>
      <c r="J11" s="36"/>
    </row>
    <row r="12" spans="1:10" ht="20.25" customHeight="1">
      <c r="A12" s="277" t="s">
        <v>63</v>
      </c>
      <c r="B12" s="296"/>
      <c r="C12" s="291"/>
      <c r="D12" s="60"/>
      <c r="E12" s="74"/>
      <c r="F12" s="37"/>
      <c r="G12" s="32"/>
      <c r="H12" s="38"/>
      <c r="I12" s="15"/>
      <c r="J12" s="36"/>
    </row>
    <row r="13" spans="1:10" ht="15" customHeight="1">
      <c r="A13" s="277"/>
      <c r="B13" s="296"/>
      <c r="C13" s="291"/>
      <c r="D13" s="16"/>
      <c r="E13" s="59"/>
      <c r="F13" s="37"/>
      <c r="G13" s="32"/>
      <c r="H13" s="38"/>
      <c r="I13" s="30"/>
      <c r="J13" s="36"/>
    </row>
    <row r="14" spans="1:114" s="46" customFormat="1" ht="20.25" customHeight="1">
      <c r="A14" s="153" t="s">
        <v>14</v>
      </c>
      <c r="B14" s="39">
        <f>SUM(B12:B13)</f>
        <v>0</v>
      </c>
      <c r="C14" s="2"/>
      <c r="D14" s="75">
        <f>D13+D12</f>
        <v>0</v>
      </c>
      <c r="E14" s="76"/>
      <c r="F14" s="40"/>
      <c r="G14" s="41"/>
      <c r="H14" s="42">
        <f>SUM(H12:H13)</f>
        <v>0</v>
      </c>
      <c r="I14" s="31"/>
      <c r="J14" s="43"/>
      <c r="K14" s="44"/>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row>
    <row r="15" spans="1:11" ht="15" customHeight="1">
      <c r="A15" s="277" t="s">
        <v>64</v>
      </c>
      <c r="B15" s="278"/>
      <c r="C15" s="251"/>
      <c r="D15" s="60"/>
      <c r="E15" s="74"/>
      <c r="F15" s="37"/>
      <c r="G15" s="32"/>
      <c r="H15" s="30"/>
      <c r="I15" s="15"/>
      <c r="J15" s="36"/>
      <c r="K15" s="47"/>
    </row>
    <row r="16" spans="1:11" ht="13.5" customHeight="1">
      <c r="A16" s="277"/>
      <c r="B16" s="280"/>
      <c r="C16" s="253"/>
      <c r="D16" s="60"/>
      <c r="E16" s="59"/>
      <c r="F16" s="37"/>
      <c r="G16" s="32"/>
      <c r="H16" s="30"/>
      <c r="I16" s="30"/>
      <c r="J16" s="36"/>
      <c r="K16" s="47"/>
    </row>
    <row r="17" spans="1:114" s="46" customFormat="1" ht="22.5" customHeight="1">
      <c r="A17" s="153" t="s">
        <v>14</v>
      </c>
      <c r="B17" s="39">
        <f>SUM(B15)</f>
        <v>0</v>
      </c>
      <c r="C17" s="152"/>
      <c r="D17" s="64">
        <f>D16+D15</f>
        <v>0</v>
      </c>
      <c r="E17" s="76"/>
      <c r="F17" s="40"/>
      <c r="G17" s="41"/>
      <c r="H17" s="31">
        <f>SUM(H15:H16)</f>
        <v>0</v>
      </c>
      <c r="I17" s="31"/>
      <c r="J17" s="43"/>
      <c r="K17" s="44"/>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row>
    <row r="18" spans="1:114" s="46" customFormat="1" ht="21" customHeight="1">
      <c r="A18" s="277" t="s">
        <v>65</v>
      </c>
      <c r="B18" s="278"/>
      <c r="C18" s="152"/>
      <c r="D18" s="16"/>
      <c r="E18" s="105"/>
      <c r="F18" s="40"/>
      <c r="G18" s="41"/>
      <c r="H18" s="30"/>
      <c r="I18" s="15"/>
      <c r="J18" s="43"/>
      <c r="K18" s="44"/>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row>
    <row r="19" spans="1:114" s="46" customFormat="1" ht="18.75" customHeight="1">
      <c r="A19" s="277"/>
      <c r="B19" s="280"/>
      <c r="C19" s="155"/>
      <c r="D19" s="16"/>
      <c r="E19" s="59"/>
      <c r="F19" s="40"/>
      <c r="G19" s="41"/>
      <c r="H19" s="30"/>
      <c r="I19" s="15"/>
      <c r="J19" s="43"/>
      <c r="K19" s="44"/>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row>
    <row r="20" spans="1:114" s="46" customFormat="1" ht="20.25" customHeight="1">
      <c r="A20" s="277"/>
      <c r="B20" s="39">
        <f>SUM(B18)</f>
        <v>0</v>
      </c>
      <c r="C20" s="116"/>
      <c r="D20" s="77">
        <f>SUM(D18:D19)</f>
        <v>0</v>
      </c>
      <c r="E20" s="76"/>
      <c r="F20" s="48">
        <f>F18</f>
        <v>0</v>
      </c>
      <c r="G20" s="41"/>
      <c r="H20" s="31">
        <f>SUM(H18:H18)</f>
        <v>0</v>
      </c>
      <c r="I20" s="31"/>
      <c r="J20" s="43"/>
      <c r="K20" s="4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row>
    <row r="21" spans="1:11" ht="28.5" customHeight="1">
      <c r="A21" s="254" t="s">
        <v>66</v>
      </c>
      <c r="B21" s="278"/>
      <c r="C21" s="156"/>
      <c r="D21" s="16"/>
      <c r="E21" s="74"/>
      <c r="F21" s="37"/>
      <c r="G21" s="32"/>
      <c r="H21" s="30"/>
      <c r="I21" s="15"/>
      <c r="J21" s="36"/>
      <c r="K21" s="47"/>
    </row>
    <row r="22" spans="1:11" ht="18.75" customHeight="1">
      <c r="A22" s="255"/>
      <c r="B22" s="280"/>
      <c r="C22" s="157"/>
      <c r="D22" s="143"/>
      <c r="E22" s="122"/>
      <c r="F22" s="37"/>
      <c r="G22" s="32"/>
      <c r="H22" s="30"/>
      <c r="I22" s="30"/>
      <c r="J22" s="36"/>
      <c r="K22" s="47"/>
    </row>
    <row r="23" spans="1:114" s="46" customFormat="1" ht="25.5" customHeight="1">
      <c r="A23" s="153" t="s">
        <v>15</v>
      </c>
      <c r="B23" s="39">
        <f>B21</f>
        <v>0</v>
      </c>
      <c r="C23" s="2"/>
      <c r="D23" s="79">
        <f>D22+D21</f>
        <v>0</v>
      </c>
      <c r="E23" s="80"/>
      <c r="F23" s="40"/>
      <c r="G23" s="41"/>
      <c r="H23" s="31">
        <f>SUM(H21:H22)</f>
        <v>0</v>
      </c>
      <c r="I23" s="31"/>
      <c r="J23" s="43"/>
      <c r="K23" s="44"/>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row>
    <row r="24" spans="1:114" s="46" customFormat="1" ht="27.75" customHeight="1">
      <c r="A24" s="254" t="s">
        <v>67</v>
      </c>
      <c r="B24" s="278"/>
      <c r="C24" s="152"/>
      <c r="D24" s="60"/>
      <c r="E24" s="105"/>
      <c r="F24" s="40"/>
      <c r="G24" s="41"/>
      <c r="H24" s="30"/>
      <c r="I24" s="15"/>
      <c r="J24" s="43"/>
      <c r="K24" s="44"/>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row>
    <row r="25" spans="1:11" ht="21.75" customHeight="1">
      <c r="A25" s="255"/>
      <c r="B25" s="280"/>
      <c r="C25" s="116"/>
      <c r="D25" s="49"/>
      <c r="E25" s="59"/>
      <c r="F25" s="37"/>
      <c r="G25" s="32"/>
      <c r="H25" s="38"/>
      <c r="I25" s="32"/>
      <c r="J25" s="36"/>
      <c r="K25" s="47"/>
    </row>
    <row r="26" spans="1:114" s="46" customFormat="1" ht="19.5" customHeight="1">
      <c r="A26" s="153" t="s">
        <v>15</v>
      </c>
      <c r="B26" s="39">
        <f>B24</f>
        <v>0</v>
      </c>
      <c r="C26" s="152"/>
      <c r="D26" s="79">
        <f>SUM(D24:D25)</f>
        <v>0</v>
      </c>
      <c r="E26" s="80"/>
      <c r="F26" s="40"/>
      <c r="G26" s="41"/>
      <c r="H26" s="42">
        <f>SUM(H24:H25)</f>
        <v>0</v>
      </c>
      <c r="I26" s="31"/>
      <c r="J26" s="43"/>
      <c r="K26" s="44"/>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row>
    <row r="27" spans="1:114" s="46" customFormat="1" ht="24.75" customHeight="1">
      <c r="A27" s="254" t="s">
        <v>68</v>
      </c>
      <c r="B27" s="278"/>
      <c r="C27" s="156"/>
      <c r="D27" s="16"/>
      <c r="E27" s="112"/>
      <c r="F27" s="292"/>
      <c r="G27" s="293"/>
      <c r="H27" s="294"/>
      <c r="I27" s="294"/>
      <c r="J27" s="43"/>
      <c r="K27" s="44"/>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row>
    <row r="28" spans="1:114" s="46" customFormat="1" ht="23.25" customHeight="1">
      <c r="A28" s="260"/>
      <c r="B28" s="279"/>
      <c r="C28" s="158"/>
      <c r="D28" s="16"/>
      <c r="E28" s="59"/>
      <c r="F28" s="292"/>
      <c r="G28" s="293"/>
      <c r="H28" s="294"/>
      <c r="I28" s="294"/>
      <c r="J28" s="43"/>
      <c r="K28" s="4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row>
    <row r="29" spans="1:114" s="46" customFormat="1" ht="21" customHeight="1">
      <c r="A29" s="255"/>
      <c r="B29" s="280"/>
      <c r="C29" s="158"/>
      <c r="D29" s="60"/>
      <c r="E29" s="59"/>
      <c r="F29" s="6"/>
      <c r="G29" s="41"/>
      <c r="H29" s="33"/>
      <c r="I29" s="33"/>
      <c r="J29" s="43"/>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row>
    <row r="30" spans="1:114" s="46" customFormat="1" ht="22.5" customHeight="1">
      <c r="A30" s="153" t="s">
        <v>15</v>
      </c>
      <c r="B30" s="39">
        <f>SUM(B27:B28)</f>
        <v>0</v>
      </c>
      <c r="C30" s="159"/>
      <c r="D30" s="79">
        <f>SUM(D27:D29)</f>
        <v>0</v>
      </c>
      <c r="E30" s="80"/>
      <c r="F30" s="50"/>
      <c r="G30" s="41"/>
      <c r="H30" s="33">
        <f>SUM(H27:H29)</f>
        <v>0</v>
      </c>
      <c r="I30" s="33"/>
      <c r="J30" s="43"/>
      <c r="K30" s="44"/>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row>
    <row r="31" spans="1:11" ht="21.75" customHeight="1">
      <c r="A31" s="254" t="s">
        <v>69</v>
      </c>
      <c r="B31" s="278"/>
      <c r="C31" s="152"/>
      <c r="D31" s="16"/>
      <c r="E31" s="81"/>
      <c r="F31" s="6"/>
      <c r="G31" s="32"/>
      <c r="H31" s="14"/>
      <c r="I31" s="14"/>
      <c r="J31" s="36"/>
      <c r="K31" s="47"/>
    </row>
    <row r="32" spans="1:11" ht="27.75" customHeight="1">
      <c r="A32" s="255"/>
      <c r="B32" s="280"/>
      <c r="C32" s="116"/>
      <c r="D32" s="16"/>
      <c r="E32" s="59"/>
      <c r="F32" s="6"/>
      <c r="G32" s="32"/>
      <c r="H32" s="14"/>
      <c r="I32" s="14"/>
      <c r="J32" s="36"/>
      <c r="K32" s="47"/>
    </row>
    <row r="33" spans="1:114" s="46" customFormat="1" ht="24" customHeight="1">
      <c r="A33" s="160" t="s">
        <v>15</v>
      </c>
      <c r="B33" s="39">
        <f>SUM(B31)</f>
        <v>0</v>
      </c>
      <c r="C33" s="159"/>
      <c r="D33" s="75">
        <f>D32+D31</f>
        <v>0</v>
      </c>
      <c r="E33" s="139"/>
      <c r="F33" s="10"/>
      <c r="G33" s="41"/>
      <c r="H33" s="33">
        <f>SUM(H31:H32)</f>
        <v>0</v>
      </c>
      <c r="I33" s="33"/>
      <c r="J33" s="43"/>
      <c r="K33" s="4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row>
    <row r="34" spans="1:114" s="46" customFormat="1" ht="24" customHeight="1">
      <c r="A34" s="254" t="s">
        <v>70</v>
      </c>
      <c r="B34" s="278"/>
      <c r="C34" s="159"/>
      <c r="D34" s="140"/>
      <c r="E34" s="59"/>
      <c r="F34" s="10"/>
      <c r="G34" s="41"/>
      <c r="H34" s="33"/>
      <c r="I34" s="33"/>
      <c r="J34" s="43"/>
      <c r="K34" s="4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row>
    <row r="35" spans="1:10" ht="12.75" customHeight="1">
      <c r="A35" s="260"/>
      <c r="B35" s="279"/>
      <c r="C35" s="291"/>
      <c r="D35" s="60"/>
      <c r="E35" s="16"/>
      <c r="F35" s="51"/>
      <c r="G35" s="32"/>
      <c r="H35" s="14"/>
      <c r="I35" s="14"/>
      <c r="J35" s="36"/>
    </row>
    <row r="36" spans="1:10" ht="13.5" customHeight="1">
      <c r="A36" s="255"/>
      <c r="B36" s="280"/>
      <c r="C36" s="291"/>
      <c r="D36" s="60"/>
      <c r="E36" s="107"/>
      <c r="F36" s="51"/>
      <c r="G36" s="32"/>
      <c r="H36" s="14"/>
      <c r="I36" s="14"/>
      <c r="J36" s="36"/>
    </row>
    <row r="37" spans="1:114" s="46" customFormat="1" ht="27.75" customHeight="1">
      <c r="A37" s="153" t="s">
        <v>15</v>
      </c>
      <c r="B37" s="39">
        <f>SUM(B34:B36)</f>
        <v>0</v>
      </c>
      <c r="C37" s="2"/>
      <c r="D37" s="23">
        <f>SUM(D34:D36)</f>
        <v>0</v>
      </c>
      <c r="E37" s="82"/>
      <c r="F37" s="50"/>
      <c r="G37" s="41"/>
      <c r="H37" s="33">
        <f>SUM(H35:H36)</f>
        <v>0</v>
      </c>
      <c r="I37" s="33"/>
      <c r="J37" s="43"/>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row>
    <row r="38" spans="1:10" ht="24.75" customHeight="1">
      <c r="A38" s="254" t="s">
        <v>71</v>
      </c>
      <c r="B38" s="278"/>
      <c r="C38" s="154"/>
      <c r="D38" s="16"/>
      <c r="E38" s="108"/>
      <c r="F38" s="51"/>
      <c r="G38" s="32"/>
      <c r="H38" s="14"/>
      <c r="I38" s="14"/>
      <c r="J38" s="36"/>
    </row>
    <row r="39" spans="1:10" ht="15" customHeight="1">
      <c r="A39" s="260"/>
      <c r="B39" s="279"/>
      <c r="C39" s="152"/>
      <c r="D39" s="103"/>
      <c r="E39" s="113"/>
      <c r="F39" s="51"/>
      <c r="G39" s="32"/>
      <c r="H39" s="14"/>
      <c r="I39" s="14"/>
      <c r="J39" s="36"/>
    </row>
    <row r="40" spans="1:10" ht="20.25" customHeight="1">
      <c r="A40" s="255"/>
      <c r="B40" s="280"/>
      <c r="C40" s="159"/>
      <c r="D40" s="103"/>
      <c r="E40" s="59"/>
      <c r="F40" s="51"/>
      <c r="G40" s="32"/>
      <c r="H40" s="14"/>
      <c r="I40" s="14"/>
      <c r="J40" s="36"/>
    </row>
    <row r="41" spans="1:114" s="46" customFormat="1" ht="27" customHeight="1">
      <c r="A41" s="153" t="s">
        <v>15</v>
      </c>
      <c r="B41" s="39">
        <f>SUM(B38:B39)</f>
        <v>0</v>
      </c>
      <c r="C41" s="116"/>
      <c r="D41" s="23">
        <f>SUM(D38:D40)</f>
        <v>0</v>
      </c>
      <c r="E41" s="82"/>
      <c r="F41" s="50"/>
      <c r="G41" s="41"/>
      <c r="H41" s="33">
        <f>H38</f>
        <v>0</v>
      </c>
      <c r="I41" s="33"/>
      <c r="J41" s="43"/>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row>
    <row r="42" spans="1:114" s="46" customFormat="1" ht="21" customHeight="1">
      <c r="A42" s="254" t="s">
        <v>7</v>
      </c>
      <c r="B42" s="278"/>
      <c r="C42" s="251"/>
      <c r="D42" s="60"/>
      <c r="E42" s="16"/>
      <c r="F42" s="50"/>
      <c r="G42" s="41"/>
      <c r="H42" s="14"/>
      <c r="I42" s="14"/>
      <c r="J42" s="43"/>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row>
    <row r="43" spans="1:10" ht="18" customHeight="1">
      <c r="A43" s="255"/>
      <c r="B43" s="280"/>
      <c r="C43" s="253"/>
      <c r="D43" s="16"/>
      <c r="E43" s="59"/>
      <c r="F43" s="6"/>
      <c r="G43" s="32"/>
      <c r="H43" s="14"/>
      <c r="I43" s="14"/>
      <c r="J43" s="36"/>
    </row>
    <row r="44" spans="1:114" s="46" customFormat="1" ht="23.25" customHeight="1">
      <c r="A44" s="153" t="s">
        <v>15</v>
      </c>
      <c r="B44" s="39">
        <f>SUM(B42)</f>
        <v>0</v>
      </c>
      <c r="C44" s="152"/>
      <c r="D44" s="22">
        <f>D43+D42</f>
        <v>0</v>
      </c>
      <c r="E44" s="60"/>
      <c r="F44" s="50"/>
      <c r="G44" s="41"/>
      <c r="H44" s="33">
        <f>SUM(H42:H43)</f>
        <v>0</v>
      </c>
      <c r="I44" s="33"/>
      <c r="J44" s="43"/>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row>
    <row r="45" spans="1:114" s="46" customFormat="1" ht="26.25" customHeight="1">
      <c r="A45" s="254" t="s">
        <v>16</v>
      </c>
      <c r="B45" s="278"/>
      <c r="C45" s="159"/>
      <c r="D45" s="16"/>
      <c r="E45" s="16"/>
      <c r="F45" s="50"/>
      <c r="G45" s="41"/>
      <c r="H45" s="14"/>
      <c r="I45" s="14"/>
      <c r="J45" s="43"/>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row>
    <row r="46" spans="1:10" ht="16.5" customHeight="1">
      <c r="A46" s="255"/>
      <c r="B46" s="280"/>
      <c r="C46" s="159"/>
      <c r="D46" s="78"/>
      <c r="E46" s="59"/>
      <c r="F46" s="6"/>
      <c r="G46" s="32"/>
      <c r="H46" s="14"/>
      <c r="I46" s="14"/>
      <c r="J46" s="36"/>
    </row>
    <row r="47" spans="1:114" s="46" customFormat="1" ht="27.75" customHeight="1">
      <c r="A47" s="153" t="s">
        <v>15</v>
      </c>
      <c r="B47" s="39">
        <f>SUM(B45:B45)</f>
        <v>0</v>
      </c>
      <c r="C47" s="161"/>
      <c r="D47" s="23">
        <f>D46+D45</f>
        <v>0</v>
      </c>
      <c r="E47" s="82"/>
      <c r="F47" s="50"/>
      <c r="G47" s="41"/>
      <c r="H47" s="33">
        <f>SUM(H45:H46)</f>
        <v>0</v>
      </c>
      <c r="I47" s="33"/>
      <c r="J47" s="43"/>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row>
    <row r="48" spans="1:114" s="46" customFormat="1" ht="169.5" customHeight="1">
      <c r="A48" s="254" t="s">
        <v>8</v>
      </c>
      <c r="B48" s="278">
        <f>20400+19370</f>
        <v>39770</v>
      </c>
      <c r="C48" s="162" t="s">
        <v>114</v>
      </c>
      <c r="D48" s="60"/>
      <c r="E48" s="59"/>
      <c r="F48" s="50"/>
      <c r="G48" s="41"/>
      <c r="H48" s="33"/>
      <c r="I48" s="33"/>
      <c r="J48" s="43"/>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row>
    <row r="49" spans="1:114" s="46" customFormat="1" ht="10.5" customHeight="1">
      <c r="A49" s="260"/>
      <c r="B49" s="279"/>
      <c r="C49" s="251"/>
      <c r="D49" s="60"/>
      <c r="E49" s="100"/>
      <c r="F49" s="50"/>
      <c r="G49" s="41"/>
      <c r="H49" s="33"/>
      <c r="I49" s="33"/>
      <c r="J49" s="43"/>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row>
    <row r="50" spans="1:10" ht="15.75" customHeight="1">
      <c r="A50" s="255"/>
      <c r="B50" s="280"/>
      <c r="C50" s="253"/>
      <c r="D50" s="16"/>
      <c r="E50" s="108"/>
      <c r="F50" s="5"/>
      <c r="G50" s="32"/>
      <c r="H50" s="14"/>
      <c r="I50" s="14"/>
      <c r="J50" s="36"/>
    </row>
    <row r="51" spans="1:114" s="46" customFormat="1" ht="31.5" customHeight="1">
      <c r="A51" s="153" t="s">
        <v>15</v>
      </c>
      <c r="B51" s="39">
        <f>SUM(B48)</f>
        <v>39770</v>
      </c>
      <c r="C51" s="152"/>
      <c r="D51" s="22">
        <f>SUM(D48:D50)</f>
        <v>0</v>
      </c>
      <c r="E51" s="82"/>
      <c r="F51" s="50"/>
      <c r="G51" s="41"/>
      <c r="H51" s="33">
        <f>SUM(H49:H50)</f>
        <v>0</v>
      </c>
      <c r="I51" s="33"/>
      <c r="J51" s="43"/>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row>
    <row r="52" spans="1:114" s="46" customFormat="1" ht="15" customHeight="1">
      <c r="A52" s="254" t="s">
        <v>9</v>
      </c>
      <c r="B52" s="278">
        <v>8000</v>
      </c>
      <c r="C52" s="251" t="s">
        <v>115</v>
      </c>
      <c r="D52" s="59"/>
      <c r="E52" s="74"/>
      <c r="F52" s="50"/>
      <c r="G52" s="41"/>
      <c r="H52" s="33"/>
      <c r="I52" s="33"/>
      <c r="J52" s="43"/>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row>
    <row r="53" spans="1:10" ht="32.25" customHeight="1">
      <c r="A53" s="255"/>
      <c r="B53" s="280"/>
      <c r="C53" s="253"/>
      <c r="D53" s="16"/>
      <c r="E53" s="16"/>
      <c r="F53" s="5"/>
      <c r="G53" s="32"/>
      <c r="H53" s="12"/>
      <c r="I53" s="14"/>
      <c r="J53" s="36"/>
    </row>
    <row r="54" spans="1:114" s="46" customFormat="1" ht="19.5" customHeight="1">
      <c r="A54" s="153" t="s">
        <v>15</v>
      </c>
      <c r="B54" s="39">
        <f>B52</f>
        <v>8000</v>
      </c>
      <c r="C54" s="159"/>
      <c r="D54" s="22">
        <f>D53+D52</f>
        <v>0</v>
      </c>
      <c r="E54" s="82"/>
      <c r="F54" s="50">
        <f>F53</f>
        <v>0</v>
      </c>
      <c r="G54" s="41"/>
      <c r="H54" s="33">
        <f>SUM(H52:H53)</f>
        <v>0</v>
      </c>
      <c r="I54" s="33"/>
      <c r="J54" s="43"/>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row>
    <row r="55" spans="1:114" s="46" customFormat="1" ht="32.25" customHeight="1">
      <c r="A55" s="254" t="s">
        <v>10</v>
      </c>
      <c r="B55" s="278"/>
      <c r="C55" s="152"/>
      <c r="D55" s="59"/>
      <c r="E55" s="74"/>
      <c r="F55" s="50"/>
      <c r="G55" s="41"/>
      <c r="H55" s="33"/>
      <c r="I55" s="33"/>
      <c r="J55" s="43"/>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row>
    <row r="56" spans="1:10" ht="23.25" customHeight="1">
      <c r="A56" s="255"/>
      <c r="B56" s="280"/>
      <c r="C56" s="116"/>
      <c r="D56" s="16"/>
      <c r="E56" s="59"/>
      <c r="F56" s="5"/>
      <c r="G56" s="32"/>
      <c r="H56" s="14"/>
      <c r="I56" s="14"/>
      <c r="J56" s="36"/>
    </row>
    <row r="57" spans="1:114" s="46" customFormat="1" ht="21.75" customHeight="1">
      <c r="A57" s="153" t="s">
        <v>15</v>
      </c>
      <c r="B57" s="39">
        <f>SUM(B55:B55)</f>
        <v>0</v>
      </c>
      <c r="C57" s="152"/>
      <c r="D57" s="22">
        <f>D56+D55</f>
        <v>0</v>
      </c>
      <c r="E57" s="60"/>
      <c r="F57" s="50"/>
      <c r="G57" s="41"/>
      <c r="H57" s="33">
        <f>SUM(H55:H56)</f>
        <v>0</v>
      </c>
      <c r="I57" s="33"/>
      <c r="J57" s="43"/>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row>
    <row r="58" spans="1:114" s="46" customFormat="1" ht="24" customHeight="1">
      <c r="A58" s="254" t="s">
        <v>11</v>
      </c>
      <c r="B58" s="278"/>
      <c r="C58" s="152"/>
      <c r="D58" s="59"/>
      <c r="E58" s="74"/>
      <c r="F58" s="5"/>
      <c r="G58" s="32"/>
      <c r="H58" s="14"/>
      <c r="I58" s="14"/>
      <c r="J58" s="43"/>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row>
    <row r="59" spans="1:10" ht="23.25" customHeight="1">
      <c r="A59" s="255"/>
      <c r="B59" s="280"/>
      <c r="C59" s="116"/>
      <c r="D59" s="16"/>
      <c r="E59" s="59"/>
      <c r="F59" s="5"/>
      <c r="G59" s="32"/>
      <c r="H59" s="14"/>
      <c r="I59" s="14"/>
      <c r="J59" s="36"/>
    </row>
    <row r="60" spans="1:114" s="46" customFormat="1" ht="23.25" customHeight="1">
      <c r="A60" s="153" t="s">
        <v>15</v>
      </c>
      <c r="B60" s="52">
        <f>SUM(B58:B58)</f>
        <v>0</v>
      </c>
      <c r="C60" s="116"/>
      <c r="D60" s="22">
        <f>D59+D58</f>
        <v>0</v>
      </c>
      <c r="E60" s="60"/>
      <c r="F60" s="50">
        <f>F59+F58</f>
        <v>0</v>
      </c>
      <c r="G60" s="41"/>
      <c r="H60" s="33">
        <f>SUM(H58:H59)</f>
        <v>0</v>
      </c>
      <c r="I60" s="33"/>
      <c r="J60" s="43"/>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row>
    <row r="61" spans="1:114" s="46" customFormat="1" ht="13.5" customHeight="1">
      <c r="A61" s="254" t="s">
        <v>12</v>
      </c>
      <c r="B61" s="278"/>
      <c r="C61" s="251"/>
      <c r="D61" s="59"/>
      <c r="E61" s="74"/>
      <c r="F61" s="50"/>
      <c r="G61" s="41"/>
      <c r="H61" s="33"/>
      <c r="I61" s="33"/>
      <c r="J61" s="43"/>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row>
    <row r="62" spans="1:10" ht="18" customHeight="1">
      <c r="A62" s="255"/>
      <c r="B62" s="280"/>
      <c r="C62" s="253"/>
      <c r="D62" s="16"/>
      <c r="E62" s="16"/>
      <c r="F62" s="5"/>
      <c r="G62" s="32"/>
      <c r="H62" s="14"/>
      <c r="I62" s="14"/>
      <c r="J62" s="36"/>
    </row>
    <row r="63" spans="1:114" s="46" customFormat="1" ht="24.75" customHeight="1">
      <c r="A63" s="153" t="s">
        <v>15</v>
      </c>
      <c r="B63" s="39">
        <f>SUM(B61:B61)</f>
        <v>0</v>
      </c>
      <c r="C63" s="116"/>
      <c r="D63" s="22">
        <f>D62+D61</f>
        <v>0</v>
      </c>
      <c r="E63" s="82"/>
      <c r="F63" s="50"/>
      <c r="G63" s="41"/>
      <c r="H63" s="33">
        <f>SUM(H61:H62)</f>
        <v>0</v>
      </c>
      <c r="I63" s="33"/>
      <c r="J63" s="43"/>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row>
    <row r="64" spans="1:114" s="46" customFormat="1" ht="23.25" customHeight="1">
      <c r="A64" s="254" t="s">
        <v>13</v>
      </c>
      <c r="B64" s="278"/>
      <c r="C64" s="152"/>
      <c r="D64" s="16"/>
      <c r="E64" s="16"/>
      <c r="F64" s="50"/>
      <c r="G64" s="41"/>
      <c r="H64" s="14"/>
      <c r="I64" s="14"/>
      <c r="J64" s="43"/>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row>
    <row r="65" spans="1:10" ht="27" customHeight="1">
      <c r="A65" s="255"/>
      <c r="B65" s="280"/>
      <c r="C65" s="116"/>
      <c r="D65" s="78"/>
      <c r="E65" s="59"/>
      <c r="F65" s="5"/>
      <c r="G65" s="32"/>
      <c r="H65" s="14"/>
      <c r="I65" s="14"/>
      <c r="J65" s="36"/>
    </row>
    <row r="66" spans="1:10" ht="21.75" customHeight="1">
      <c r="A66" s="153" t="s">
        <v>15</v>
      </c>
      <c r="B66" s="39">
        <f>SUM(B64:B64)</f>
        <v>0</v>
      </c>
      <c r="C66" s="116"/>
      <c r="D66" s="22">
        <f>D65+D64</f>
        <v>0</v>
      </c>
      <c r="E66" s="82"/>
      <c r="F66" s="50">
        <f>F65</f>
        <v>0</v>
      </c>
      <c r="G66" s="32"/>
      <c r="H66" s="33">
        <f>SUM(H64:H65)</f>
        <v>0</v>
      </c>
      <c r="I66" s="14"/>
      <c r="J66" s="36"/>
    </row>
    <row r="67" spans="1:10" s="56" customFormat="1" ht="24" customHeight="1">
      <c r="A67" s="258" t="s">
        <v>83</v>
      </c>
      <c r="B67" s="278"/>
      <c r="C67" s="152"/>
      <c r="D67" s="49"/>
      <c r="E67" s="74"/>
      <c r="F67" s="54"/>
      <c r="G67" s="4"/>
      <c r="H67" s="10"/>
      <c r="I67" s="11"/>
      <c r="J67" s="55"/>
    </row>
    <row r="68" spans="1:10" ht="24.75" customHeight="1">
      <c r="A68" s="259"/>
      <c r="B68" s="280"/>
      <c r="C68" s="116"/>
      <c r="D68" s="16"/>
      <c r="E68" s="59"/>
      <c r="F68" s="5"/>
      <c r="G68" s="32"/>
      <c r="H68" s="14"/>
      <c r="I68" s="14"/>
      <c r="J68" s="43"/>
    </row>
    <row r="69" spans="1:114" s="46" customFormat="1" ht="18" customHeight="1">
      <c r="A69" s="153" t="s">
        <v>15</v>
      </c>
      <c r="B69" s="39">
        <f>SUM(B67:B67)</f>
        <v>0</v>
      </c>
      <c r="C69" s="116"/>
      <c r="D69" s="22">
        <f>D68+D67</f>
        <v>0</v>
      </c>
      <c r="E69" s="23"/>
      <c r="F69" s="50">
        <f>F68</f>
        <v>0</v>
      </c>
      <c r="G69" s="41"/>
      <c r="H69" s="9">
        <f>SUM(H67:H68)</f>
        <v>0</v>
      </c>
      <c r="I69" s="33"/>
      <c r="J69" s="43"/>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row>
    <row r="70" spans="1:114" s="46" customFormat="1" ht="21" customHeight="1">
      <c r="A70" s="258" t="s">
        <v>82</v>
      </c>
      <c r="B70" s="278"/>
      <c r="C70" s="152"/>
      <c r="D70" s="16"/>
      <c r="E70" s="16"/>
      <c r="F70" s="50"/>
      <c r="G70" s="41"/>
      <c r="H70" s="14"/>
      <c r="I70" s="14"/>
      <c r="J70" s="43"/>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row>
    <row r="71" spans="1:10" ht="26.25" customHeight="1">
      <c r="A71" s="259"/>
      <c r="B71" s="280"/>
      <c r="C71" s="116"/>
      <c r="D71" s="59"/>
      <c r="E71" s="59"/>
      <c r="F71" s="5"/>
      <c r="G71" s="32"/>
      <c r="H71" s="33"/>
      <c r="I71" s="33"/>
      <c r="J71" s="43"/>
    </row>
    <row r="72" spans="1:114" s="46" customFormat="1" ht="30.75" customHeight="1">
      <c r="A72" s="153" t="s">
        <v>15</v>
      </c>
      <c r="B72" s="39">
        <f>SUM(B70:B70)</f>
        <v>0</v>
      </c>
      <c r="C72" s="116"/>
      <c r="D72" s="22">
        <f>D71+D70</f>
        <v>0</v>
      </c>
      <c r="E72" s="23"/>
      <c r="F72" s="50">
        <f>F71</f>
        <v>0</v>
      </c>
      <c r="G72" s="41"/>
      <c r="H72" s="33">
        <f>SUM(H70:H71)</f>
        <v>0</v>
      </c>
      <c r="I72" s="33"/>
      <c r="J72" s="43"/>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row>
    <row r="73" spans="1:114" s="46" customFormat="1" ht="30.75" customHeight="1">
      <c r="A73" s="163" t="s">
        <v>44</v>
      </c>
      <c r="B73" s="22">
        <f>B72+B69+B66+B63+B60+B57+B54+B51+B47+B44+B41+B37+B33+B30+B26+B23+B20+B17+B14</f>
        <v>47770</v>
      </c>
      <c r="C73" s="3"/>
      <c r="D73" s="22">
        <f>D72+D69+D66+D63+D60+D57+D54+D51+D47+D44+D41+D37+D33+D30+D26+D23+D20+D17+D14</f>
        <v>0</v>
      </c>
      <c r="E73" s="23"/>
      <c r="F73" s="22">
        <f>F72+F69+F66+F63+F60+F57+F54+F51+F47+F44+F41+F37+F33+F30+F26+F23+F20+F17+F14</f>
        <v>0</v>
      </c>
      <c r="G73" s="4"/>
      <c r="H73" s="22">
        <f>H72+H69+H66+H63+H60+H57+H54+H51+H47+H44+H41+H37+H33+H30+H26+H23+H20+H17+H14</f>
        <v>0</v>
      </c>
      <c r="I73" s="120"/>
      <c r="J73" s="43"/>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row>
    <row r="74" spans="1:114" s="46" customFormat="1" ht="120" customHeight="1">
      <c r="A74" s="254" t="s">
        <v>72</v>
      </c>
      <c r="B74" s="278"/>
      <c r="C74" s="156" t="s">
        <v>130</v>
      </c>
      <c r="D74" s="122">
        <f>22321.38+32190+7776.26+1974.78+38565.36+13772.35</f>
        <v>116600.13</v>
      </c>
      <c r="E74" s="105" t="s">
        <v>87</v>
      </c>
      <c r="F74" s="118"/>
      <c r="G74" s="119"/>
      <c r="H74" s="33"/>
      <c r="I74" s="120"/>
      <c r="J74" s="43"/>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row>
    <row r="75" spans="1:114" s="46" customFormat="1" ht="120" customHeight="1">
      <c r="A75" s="260"/>
      <c r="B75" s="279"/>
      <c r="C75" s="156" t="s">
        <v>90</v>
      </c>
      <c r="D75" s="122">
        <v>151722</v>
      </c>
      <c r="E75" s="105" t="s">
        <v>80</v>
      </c>
      <c r="F75" s="118"/>
      <c r="G75" s="119"/>
      <c r="H75" s="33"/>
      <c r="I75" s="120"/>
      <c r="J75" s="43"/>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row>
    <row r="76" spans="1:114" s="46" customFormat="1" ht="28.5" customHeight="1">
      <c r="A76" s="260"/>
      <c r="B76" s="279"/>
      <c r="C76" s="162" t="s">
        <v>81</v>
      </c>
      <c r="D76" s="144">
        <f>673.92</f>
        <v>673.92</v>
      </c>
      <c r="E76" s="105" t="s">
        <v>91</v>
      </c>
      <c r="F76" s="118"/>
      <c r="G76" s="119"/>
      <c r="H76" s="33"/>
      <c r="I76" s="120"/>
      <c r="J76" s="43"/>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row>
    <row r="77" spans="1:114" s="46" customFormat="1" ht="36.75" customHeight="1">
      <c r="A77" s="260"/>
      <c r="B77" s="279"/>
      <c r="C77" s="128" t="s">
        <v>81</v>
      </c>
      <c r="D77" s="109">
        <v>1280.45</v>
      </c>
      <c r="E77" s="59" t="s">
        <v>92</v>
      </c>
      <c r="F77" s="118"/>
      <c r="G77" s="119"/>
      <c r="H77" s="33"/>
      <c r="I77" s="120"/>
      <c r="J77" s="43"/>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row>
    <row r="78" spans="1:114" s="46" customFormat="1" ht="33.75" customHeight="1">
      <c r="A78" s="260"/>
      <c r="B78" s="279"/>
      <c r="C78" s="146" t="s">
        <v>146</v>
      </c>
      <c r="D78" s="109">
        <f>240+10525</f>
        <v>10765</v>
      </c>
      <c r="E78" s="106" t="s">
        <v>131</v>
      </c>
      <c r="F78" s="5"/>
      <c r="G78" s="14"/>
      <c r="H78" s="12"/>
      <c r="I78" s="15"/>
      <c r="J78" s="43"/>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row>
    <row r="79" spans="1:114" s="46" customFormat="1" ht="173.25" customHeight="1">
      <c r="A79" s="260"/>
      <c r="B79" s="279"/>
      <c r="C79" s="146" t="s">
        <v>133</v>
      </c>
      <c r="D79" s="109">
        <f>57558.22+112102.29+36683.7</f>
        <v>206344.21000000002</v>
      </c>
      <c r="E79" s="106" t="s">
        <v>132</v>
      </c>
      <c r="F79" s="5"/>
      <c r="G79" s="14"/>
      <c r="H79" s="12"/>
      <c r="I79" s="15"/>
      <c r="J79" s="43"/>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row>
    <row r="80" spans="1:114" s="46" customFormat="1" ht="21" customHeight="1">
      <c r="A80" s="255"/>
      <c r="B80" s="280"/>
      <c r="C80" s="146"/>
      <c r="D80" s="122"/>
      <c r="E80" s="106"/>
      <c r="F80" s="5"/>
      <c r="G80" s="14"/>
      <c r="H80" s="12"/>
      <c r="I80" s="15"/>
      <c r="J80" s="43"/>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row>
    <row r="81" spans="1:114" s="46" customFormat="1" ht="27.75" customHeight="1">
      <c r="A81" s="153" t="s">
        <v>15</v>
      </c>
      <c r="B81" s="39">
        <f>B74</f>
        <v>0</v>
      </c>
      <c r="C81" s="2"/>
      <c r="D81" s="22">
        <f>SUM(D74:D80)</f>
        <v>487385.71</v>
      </c>
      <c r="E81" s="23"/>
      <c r="F81" s="50">
        <f>F80</f>
        <v>0</v>
      </c>
      <c r="G81" s="41"/>
      <c r="H81" s="9">
        <f>SUM(H78:H80)</f>
        <v>0</v>
      </c>
      <c r="I81" s="33"/>
      <c r="J81" s="43"/>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row>
    <row r="82" spans="1:114" s="46" customFormat="1" ht="17.25" customHeight="1">
      <c r="A82" s="254" t="s">
        <v>28</v>
      </c>
      <c r="B82" s="278"/>
      <c r="C82" s="272"/>
      <c r="D82" s="16"/>
      <c r="E82" s="16"/>
      <c r="F82" s="288"/>
      <c r="G82" s="268"/>
      <c r="H82" s="9"/>
      <c r="I82" s="33"/>
      <c r="J82" s="43"/>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row>
    <row r="83" spans="1:114" s="46" customFormat="1" ht="18" customHeight="1">
      <c r="A83" s="260"/>
      <c r="B83" s="279"/>
      <c r="C83" s="287"/>
      <c r="D83" s="59"/>
      <c r="E83" s="74"/>
      <c r="F83" s="289"/>
      <c r="G83" s="271"/>
      <c r="H83" s="14"/>
      <c r="I83" s="14"/>
      <c r="J83" s="43"/>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row>
    <row r="84" spans="1:9" ht="2.25" customHeight="1" hidden="1">
      <c r="A84" s="255"/>
      <c r="B84" s="280"/>
      <c r="C84" s="273"/>
      <c r="D84" s="59"/>
      <c r="E84" s="83"/>
      <c r="F84" s="290"/>
      <c r="G84" s="269"/>
      <c r="H84" s="57"/>
      <c r="I84" s="14"/>
    </row>
    <row r="85" spans="1:114" s="46" customFormat="1" ht="19.5" customHeight="1">
      <c r="A85" s="153" t="s">
        <v>15</v>
      </c>
      <c r="B85" s="39">
        <f>SUM(B82:B82)</f>
        <v>0</v>
      </c>
      <c r="C85" s="2"/>
      <c r="D85" s="101">
        <f>SUM(D82:D84)</f>
        <v>0</v>
      </c>
      <c r="E85" s="84"/>
      <c r="F85" s="50">
        <f>F82</f>
        <v>0</v>
      </c>
      <c r="G85" s="41"/>
      <c r="H85" s="8">
        <f>SUM(H83:H84)</f>
        <v>0</v>
      </c>
      <c r="I85" s="33"/>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row>
    <row r="86" spans="1:114" s="46" customFormat="1" ht="20.25" customHeight="1">
      <c r="A86" s="254" t="s">
        <v>55</v>
      </c>
      <c r="B86" s="278"/>
      <c r="C86" s="21"/>
      <c r="D86" s="82"/>
      <c r="E86" s="16"/>
      <c r="F86" s="288"/>
      <c r="G86" s="268"/>
      <c r="H86" s="8"/>
      <c r="I86" s="33"/>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row>
    <row r="87" spans="1:114" s="46" customFormat="1" ht="21.75" customHeight="1">
      <c r="A87" s="255"/>
      <c r="B87" s="280"/>
      <c r="C87" s="114"/>
      <c r="D87" s="59"/>
      <c r="E87" s="59"/>
      <c r="F87" s="290"/>
      <c r="G87" s="269"/>
      <c r="H87" s="58"/>
      <c r="I87" s="58"/>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row>
    <row r="88" spans="1:114" s="46" customFormat="1" ht="26.25" customHeight="1">
      <c r="A88" s="153" t="s">
        <v>15</v>
      </c>
      <c r="B88" s="39">
        <f>SUM(B86:B87)</f>
        <v>0</v>
      </c>
      <c r="C88" s="3"/>
      <c r="D88" s="23">
        <f>SUM(D86:D87)</f>
        <v>0</v>
      </c>
      <c r="E88" s="23"/>
      <c r="F88" s="10">
        <f>F86</f>
        <v>0</v>
      </c>
      <c r="G88" s="41"/>
      <c r="H88" s="8">
        <f>SUM(H86:H87)</f>
        <v>0</v>
      </c>
      <c r="I88" s="33"/>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row>
    <row r="89" spans="1:114" s="46" customFormat="1" ht="78" customHeight="1">
      <c r="A89" s="254" t="s">
        <v>54</v>
      </c>
      <c r="B89" s="284"/>
      <c r="C89" s="128" t="s">
        <v>129</v>
      </c>
      <c r="D89" s="109">
        <f>5046.66+1974.78+20914.61</f>
        <v>27936.05</v>
      </c>
      <c r="E89" s="105" t="s">
        <v>87</v>
      </c>
      <c r="F89" s="266"/>
      <c r="G89" s="268"/>
      <c r="H89" s="57"/>
      <c r="I89" s="14"/>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row>
    <row r="90" spans="1:114" s="46" customFormat="1" ht="23.25" customHeight="1">
      <c r="A90" s="260"/>
      <c r="B90" s="285"/>
      <c r="C90" s="136" t="s">
        <v>134</v>
      </c>
      <c r="D90" s="109">
        <v>4320</v>
      </c>
      <c r="E90" s="117" t="s">
        <v>136</v>
      </c>
      <c r="F90" s="270"/>
      <c r="G90" s="271"/>
      <c r="H90" s="57"/>
      <c r="I90" s="14"/>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row>
    <row r="91" spans="1:114" s="46" customFormat="1" ht="42" customHeight="1">
      <c r="A91" s="255"/>
      <c r="B91" s="286"/>
      <c r="C91" s="128" t="s">
        <v>121</v>
      </c>
      <c r="D91" s="109">
        <f>6770+5607</f>
        <v>12377</v>
      </c>
      <c r="E91" s="59" t="s">
        <v>108</v>
      </c>
      <c r="F91" s="267"/>
      <c r="G91" s="269"/>
      <c r="H91" s="8"/>
      <c r="I91" s="33"/>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row>
    <row r="92" spans="1:114" s="46" customFormat="1" ht="24" customHeight="1">
      <c r="A92" s="153" t="s">
        <v>15</v>
      </c>
      <c r="B92" s="39">
        <f>SUM(B89:B91)</f>
        <v>0</v>
      </c>
      <c r="C92" s="3"/>
      <c r="D92" s="22">
        <f>SUM(D89:D91)</f>
        <v>44633.05</v>
      </c>
      <c r="E92" s="23"/>
      <c r="F92" s="10">
        <f>F89</f>
        <v>0</v>
      </c>
      <c r="G92" s="41"/>
      <c r="H92" s="8">
        <f>SUM(H89:H91)</f>
        <v>0</v>
      </c>
      <c r="I92" s="33"/>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row>
    <row r="93" spans="1:114" s="46" customFormat="1" ht="28.5" customHeight="1">
      <c r="A93" s="254" t="s">
        <v>73</v>
      </c>
      <c r="B93" s="278"/>
      <c r="C93" s="162" t="s">
        <v>81</v>
      </c>
      <c r="D93" s="144">
        <v>1979.64</v>
      </c>
      <c r="E93" s="105" t="s">
        <v>91</v>
      </c>
      <c r="F93" s="123"/>
      <c r="G93" s="119"/>
      <c r="H93" s="8"/>
      <c r="I93" s="33"/>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row>
    <row r="94" spans="1:114" s="46" customFormat="1" ht="26.25" customHeight="1">
      <c r="A94" s="260"/>
      <c r="B94" s="279"/>
      <c r="C94" s="128" t="s">
        <v>81</v>
      </c>
      <c r="D94" s="109">
        <v>1280.45</v>
      </c>
      <c r="E94" s="59" t="s">
        <v>92</v>
      </c>
      <c r="F94" s="123"/>
      <c r="G94" s="119"/>
      <c r="H94" s="8"/>
      <c r="I94" s="33"/>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row>
    <row r="95" spans="1:114" s="46" customFormat="1" ht="72.75" customHeight="1">
      <c r="A95" s="260"/>
      <c r="B95" s="279"/>
      <c r="C95" s="128" t="s">
        <v>125</v>
      </c>
      <c r="D95" s="109">
        <f>26825+2047.2+1974.78+13772.35</f>
        <v>44619.33</v>
      </c>
      <c r="E95" s="105" t="s">
        <v>87</v>
      </c>
      <c r="F95" s="123"/>
      <c r="G95" s="119"/>
      <c r="H95" s="8"/>
      <c r="I95" s="33"/>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row>
    <row r="96" spans="1:9" ht="23.25" customHeight="1">
      <c r="A96" s="260"/>
      <c r="B96" s="279"/>
      <c r="C96" s="152" t="s">
        <v>29</v>
      </c>
      <c r="D96" s="109">
        <v>64487.68</v>
      </c>
      <c r="E96" s="109" t="s">
        <v>142</v>
      </c>
      <c r="F96" s="281"/>
      <c r="G96" s="268"/>
      <c r="H96" s="5"/>
      <c r="I96" s="14"/>
    </row>
    <row r="97" spans="1:9" ht="16.5" customHeight="1">
      <c r="A97" s="260"/>
      <c r="B97" s="279"/>
      <c r="C97" s="151"/>
      <c r="D97" s="83"/>
      <c r="E97" s="151"/>
      <c r="F97" s="282"/>
      <c r="G97" s="271"/>
      <c r="H97" s="5"/>
      <c r="I97" s="14"/>
    </row>
    <row r="98" spans="1:9" ht="25.5" customHeight="1" hidden="1">
      <c r="A98" s="260"/>
      <c r="B98" s="279"/>
      <c r="C98" s="116"/>
      <c r="D98" s="28"/>
      <c r="E98" s="1"/>
      <c r="F98" s="282"/>
      <c r="G98" s="271"/>
      <c r="H98" s="5"/>
      <c r="I98" s="14"/>
    </row>
    <row r="99" spans="1:9" ht="12.75" customHeight="1">
      <c r="A99" s="260"/>
      <c r="B99" s="279"/>
      <c r="C99" s="152"/>
      <c r="D99" s="109"/>
      <c r="E99" s="106"/>
      <c r="F99" s="282"/>
      <c r="G99" s="271"/>
      <c r="H99" s="5"/>
      <c r="I99" s="14"/>
    </row>
    <row r="100" spans="1:9" ht="15" customHeight="1">
      <c r="A100" s="255"/>
      <c r="B100" s="280"/>
      <c r="C100" s="152"/>
      <c r="D100" s="109"/>
      <c r="E100" s="100"/>
      <c r="F100" s="283"/>
      <c r="G100" s="269"/>
      <c r="H100" s="5"/>
      <c r="I100" s="14"/>
    </row>
    <row r="101" spans="1:114" s="46" customFormat="1" ht="22.5" customHeight="1">
      <c r="A101" s="153" t="s">
        <v>15</v>
      </c>
      <c r="B101" s="52">
        <f>SUM(B93:B93)</f>
        <v>0</v>
      </c>
      <c r="C101" s="152"/>
      <c r="D101" s="22">
        <f>SUM(D93:D100)</f>
        <v>112367.1</v>
      </c>
      <c r="E101" s="23"/>
      <c r="F101" s="10">
        <f>F96</f>
        <v>0</v>
      </c>
      <c r="G101" s="41"/>
      <c r="H101" s="50">
        <f>H96</f>
        <v>0</v>
      </c>
      <c r="I101" s="33"/>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row>
    <row r="102" spans="1:114" s="46" customFormat="1" ht="174.75" customHeight="1" hidden="1">
      <c r="A102" s="153" t="s">
        <v>15</v>
      </c>
      <c r="B102" s="39">
        <f>SUM(B93:B101)</f>
        <v>0</v>
      </c>
      <c r="C102" s="2"/>
      <c r="D102" s="23"/>
      <c r="E102" s="22"/>
      <c r="F102" s="9"/>
      <c r="G102" s="41"/>
      <c r="H102" s="8"/>
      <c r="I102" s="8"/>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row>
    <row r="103" spans="1:114" s="46" customFormat="1" ht="16.5" customHeight="1" hidden="1">
      <c r="A103" s="164" t="s">
        <v>27</v>
      </c>
      <c r="B103" s="62">
        <v>10999</v>
      </c>
      <c r="C103" s="152" t="s">
        <v>35</v>
      </c>
      <c r="D103" s="23"/>
      <c r="E103" s="22"/>
      <c r="F103" s="9"/>
      <c r="G103" s="41"/>
      <c r="H103" s="8"/>
      <c r="I103" s="8"/>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row>
    <row r="104" spans="1:9" ht="17.25" customHeight="1" hidden="1">
      <c r="A104" s="164" t="s">
        <v>27</v>
      </c>
      <c r="B104" s="62">
        <v>1219</v>
      </c>
      <c r="C104" s="152" t="s">
        <v>29</v>
      </c>
      <c r="D104" s="60"/>
      <c r="E104" s="22"/>
      <c r="F104" s="12"/>
      <c r="G104" s="32"/>
      <c r="H104" s="57"/>
      <c r="I104" s="14"/>
    </row>
    <row r="105" spans="1:114" s="46" customFormat="1" ht="16.5" customHeight="1" hidden="1">
      <c r="A105" s="153" t="s">
        <v>15</v>
      </c>
      <c r="B105" s="39">
        <f>SUM(B103:B104)</f>
        <v>12218</v>
      </c>
      <c r="C105" s="2"/>
      <c r="D105" s="23"/>
      <c r="E105" s="22"/>
      <c r="F105" s="9"/>
      <c r="G105" s="41"/>
      <c r="H105" s="8"/>
      <c r="I105" s="8"/>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row>
    <row r="106" spans="1:114" s="46" customFormat="1" ht="16.5" customHeight="1" hidden="1">
      <c r="A106" s="164" t="s">
        <v>22</v>
      </c>
      <c r="B106" s="59">
        <v>3133</v>
      </c>
      <c r="C106" s="152" t="s">
        <v>30</v>
      </c>
      <c r="D106" s="60"/>
      <c r="E106" s="22"/>
      <c r="F106" s="9"/>
      <c r="G106" s="41"/>
      <c r="H106" s="8"/>
      <c r="I106" s="8"/>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row>
    <row r="107" spans="1:114" s="46" customFormat="1" ht="18.75" customHeight="1" hidden="1">
      <c r="A107" s="164" t="s">
        <v>22</v>
      </c>
      <c r="B107" s="59">
        <v>120</v>
      </c>
      <c r="C107" s="152" t="s">
        <v>26</v>
      </c>
      <c r="D107" s="60"/>
      <c r="E107" s="22"/>
      <c r="F107" s="9"/>
      <c r="G107" s="41"/>
      <c r="H107" s="8"/>
      <c r="I107" s="8"/>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row>
    <row r="108" spans="1:114" s="46" customFormat="1" ht="18.75" customHeight="1" hidden="1">
      <c r="A108" s="164" t="s">
        <v>22</v>
      </c>
      <c r="B108" s="59">
        <v>210</v>
      </c>
      <c r="C108" s="152" t="s">
        <v>26</v>
      </c>
      <c r="D108" s="60"/>
      <c r="E108" s="22"/>
      <c r="F108" s="9"/>
      <c r="G108" s="41"/>
      <c r="H108" s="8"/>
      <c r="I108" s="8"/>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row>
    <row r="109" spans="1:114" s="46" customFormat="1" ht="16.5" customHeight="1" hidden="1">
      <c r="A109" s="153" t="s">
        <v>15</v>
      </c>
      <c r="B109" s="22">
        <f>SUM(B106:B108)</f>
        <v>3463</v>
      </c>
      <c r="C109" s="2"/>
      <c r="D109" s="23"/>
      <c r="E109" s="22"/>
      <c r="F109" s="9"/>
      <c r="G109" s="41"/>
      <c r="H109" s="8"/>
      <c r="I109" s="8"/>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row>
    <row r="110" spans="1:114" s="46" customFormat="1" ht="17.25" customHeight="1" hidden="1">
      <c r="A110" s="164" t="s">
        <v>23</v>
      </c>
      <c r="B110" s="63">
        <v>60</v>
      </c>
      <c r="C110" s="152" t="s">
        <v>33</v>
      </c>
      <c r="D110" s="63">
        <v>149639.87</v>
      </c>
      <c r="E110" s="85" t="s">
        <v>32</v>
      </c>
      <c r="F110" s="6"/>
      <c r="G110" s="41"/>
      <c r="H110" s="61"/>
      <c r="I110" s="8"/>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row>
    <row r="111" spans="1:114" s="46" customFormat="1" ht="17.25" customHeight="1" hidden="1">
      <c r="A111" s="164" t="s">
        <v>23</v>
      </c>
      <c r="B111" s="63">
        <v>3951.33</v>
      </c>
      <c r="C111" s="152" t="s">
        <v>34</v>
      </c>
      <c r="D111" s="63"/>
      <c r="E111" s="85"/>
      <c r="F111" s="6"/>
      <c r="G111" s="41"/>
      <c r="H111" s="61"/>
      <c r="I111" s="8"/>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row>
    <row r="112" spans="1:114" s="46" customFormat="1" ht="24" customHeight="1">
      <c r="A112" s="254" t="s">
        <v>27</v>
      </c>
      <c r="B112" s="278"/>
      <c r="C112" s="156" t="s">
        <v>81</v>
      </c>
      <c r="D112" s="144">
        <v>673.92</v>
      </c>
      <c r="E112" s="105" t="s">
        <v>91</v>
      </c>
      <c r="F112" s="115"/>
      <c r="G112" s="119"/>
      <c r="H112" s="61"/>
      <c r="I112" s="8"/>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row>
    <row r="113" spans="1:114" s="46" customFormat="1" ht="20.25" customHeight="1">
      <c r="A113" s="260"/>
      <c r="B113" s="279"/>
      <c r="C113" s="128" t="s">
        <v>81</v>
      </c>
      <c r="D113" s="109">
        <v>1280.45</v>
      </c>
      <c r="E113" s="59" t="s">
        <v>92</v>
      </c>
      <c r="F113" s="115"/>
      <c r="G113" s="119"/>
      <c r="H113" s="61"/>
      <c r="I113" s="8"/>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row>
    <row r="114" spans="1:114" s="46" customFormat="1" ht="80.25" customHeight="1">
      <c r="A114" s="260"/>
      <c r="B114" s="279"/>
      <c r="C114" s="128" t="s">
        <v>127</v>
      </c>
      <c r="D114" s="109">
        <f>26825+7776.26+1974.78+13772.35</f>
        <v>50348.39</v>
      </c>
      <c r="E114" s="105" t="s">
        <v>87</v>
      </c>
      <c r="F114" s="115"/>
      <c r="G114" s="119"/>
      <c r="H114" s="61"/>
      <c r="I114" s="8"/>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row>
    <row r="115" spans="1:9" ht="29.25" customHeight="1">
      <c r="A115" s="260"/>
      <c r="B115" s="279"/>
      <c r="C115" s="156" t="s">
        <v>138</v>
      </c>
      <c r="D115" s="109">
        <f>1898+160+60</f>
        <v>2118</v>
      </c>
      <c r="E115" s="122" t="s">
        <v>108</v>
      </c>
      <c r="F115" s="281"/>
      <c r="G115" s="268"/>
      <c r="H115" s="57"/>
      <c r="I115" s="14"/>
    </row>
    <row r="116" spans="1:9" ht="20.25" customHeight="1">
      <c r="A116" s="260"/>
      <c r="B116" s="279"/>
      <c r="C116" s="156"/>
      <c r="D116" s="109"/>
      <c r="E116" s="109"/>
      <c r="F116" s="283"/>
      <c r="G116" s="269"/>
      <c r="H116" s="57"/>
      <c r="I116" s="104"/>
    </row>
    <row r="117" spans="1:114" s="46" customFormat="1" ht="19.5" customHeight="1">
      <c r="A117" s="153" t="s">
        <v>15</v>
      </c>
      <c r="B117" s="52">
        <f>SUM(B112:B112)</f>
        <v>0</v>
      </c>
      <c r="C117" s="158"/>
      <c r="D117" s="22">
        <f>SUM(D112:D116)</f>
        <v>54420.76</v>
      </c>
      <c r="E117" s="23"/>
      <c r="F117" s="10">
        <f>F115</f>
        <v>0</v>
      </c>
      <c r="G117" s="41"/>
      <c r="H117" s="8">
        <f>SUM(H115:H116)</f>
        <v>0</v>
      </c>
      <c r="I117" s="33"/>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row>
    <row r="118" spans="1:114" s="46" customFormat="1" ht="21.75" customHeight="1">
      <c r="A118" s="254" t="s">
        <v>74</v>
      </c>
      <c r="B118" s="278"/>
      <c r="C118" s="165"/>
      <c r="D118" s="131"/>
      <c r="E118" s="132"/>
      <c r="F118" s="281"/>
      <c r="G118" s="268"/>
      <c r="H118" s="57"/>
      <c r="I118" s="14"/>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row>
    <row r="119" spans="1:9" ht="16.5" customHeight="1">
      <c r="A119" s="255"/>
      <c r="B119" s="280"/>
      <c r="C119" s="152"/>
      <c r="D119" s="60"/>
      <c r="E119" s="122"/>
      <c r="F119" s="283"/>
      <c r="G119" s="269"/>
      <c r="H119" s="60"/>
      <c r="I119" s="94"/>
    </row>
    <row r="120" spans="1:114" s="46" customFormat="1" ht="25.5" customHeight="1">
      <c r="A120" s="153" t="s">
        <v>15</v>
      </c>
      <c r="B120" s="39">
        <f>SUM(B118:B118)</f>
        <v>0</v>
      </c>
      <c r="C120" s="3"/>
      <c r="D120" s="22">
        <f>SUM(D118:D119)</f>
        <v>0</v>
      </c>
      <c r="E120" s="23"/>
      <c r="F120" s="10">
        <f>F118</f>
        <v>0</v>
      </c>
      <c r="G120" s="41"/>
      <c r="H120" s="8">
        <f>SUM(H118:H119)</f>
        <v>0</v>
      </c>
      <c r="I120" s="33"/>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row>
    <row r="121" spans="1:114" s="46" customFormat="1" ht="24.75" customHeight="1">
      <c r="A121" s="254" t="s">
        <v>75</v>
      </c>
      <c r="B121" s="278"/>
      <c r="C121" s="156" t="s">
        <v>81</v>
      </c>
      <c r="D121" s="144">
        <v>1305.72</v>
      </c>
      <c r="E121" s="105" t="s">
        <v>91</v>
      </c>
      <c r="F121" s="281"/>
      <c r="G121" s="268"/>
      <c r="H121" s="57"/>
      <c r="I121" s="14"/>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row>
    <row r="122" spans="1:114" s="46" customFormat="1" ht="26.25" customHeight="1">
      <c r="A122" s="260"/>
      <c r="B122" s="279"/>
      <c r="C122" s="128" t="s">
        <v>81</v>
      </c>
      <c r="D122" s="109">
        <v>1280.45</v>
      </c>
      <c r="E122" s="59" t="s">
        <v>92</v>
      </c>
      <c r="F122" s="282"/>
      <c r="G122" s="271"/>
      <c r="H122" s="57"/>
      <c r="I122" s="14"/>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row>
    <row r="123" spans="1:114" s="46" customFormat="1" ht="79.5" customHeight="1">
      <c r="A123" s="260"/>
      <c r="B123" s="279"/>
      <c r="C123" s="137" t="s">
        <v>127</v>
      </c>
      <c r="D123" s="109">
        <f>26825+7776.26+1974.78+17370.35</f>
        <v>53946.39</v>
      </c>
      <c r="E123" s="105" t="s">
        <v>87</v>
      </c>
      <c r="F123" s="282"/>
      <c r="G123" s="271"/>
      <c r="H123" s="57"/>
      <c r="I123" s="14"/>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row>
    <row r="124" spans="1:114" s="46" customFormat="1" ht="33.75" customHeight="1">
      <c r="A124" s="260"/>
      <c r="B124" s="279"/>
      <c r="C124" s="137" t="s">
        <v>107</v>
      </c>
      <c r="D124" s="109">
        <f>480</f>
        <v>480</v>
      </c>
      <c r="E124" s="138" t="s">
        <v>108</v>
      </c>
      <c r="F124" s="282"/>
      <c r="G124" s="271"/>
      <c r="H124" s="57"/>
      <c r="I124" s="14"/>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row>
    <row r="125" spans="1:114" s="46" customFormat="1" ht="7.5" customHeight="1">
      <c r="A125" s="260"/>
      <c r="B125" s="279"/>
      <c r="C125" s="156"/>
      <c r="D125" s="122"/>
      <c r="E125" s="105"/>
      <c r="F125" s="282"/>
      <c r="G125" s="271"/>
      <c r="H125" s="57"/>
      <c r="I125" s="14"/>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row>
    <row r="126" spans="1:9" ht="9.75" customHeight="1">
      <c r="A126" s="255"/>
      <c r="B126" s="280"/>
      <c r="C126" s="116"/>
      <c r="D126" s="122"/>
      <c r="E126" s="105"/>
      <c r="F126" s="283"/>
      <c r="G126" s="269"/>
      <c r="H126" s="57"/>
      <c r="I126" s="14"/>
    </row>
    <row r="127" spans="1:114" s="46" customFormat="1" ht="21" customHeight="1">
      <c r="A127" s="153" t="s">
        <v>15</v>
      </c>
      <c r="B127" s="39">
        <f>SUM(B121:B126)</f>
        <v>0</v>
      </c>
      <c r="C127" s="3"/>
      <c r="D127" s="22">
        <f>SUM(D121:D126)</f>
        <v>57012.56</v>
      </c>
      <c r="E127" s="23"/>
      <c r="F127" s="10">
        <f>F121</f>
        <v>0</v>
      </c>
      <c r="G127" s="41"/>
      <c r="H127" s="8">
        <f>SUM(H121:H126)</f>
        <v>0</v>
      </c>
      <c r="I127" s="33"/>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row>
    <row r="128" spans="1:114" s="46" customFormat="1" ht="0.75" customHeight="1" hidden="1">
      <c r="A128" s="254" t="s">
        <v>76</v>
      </c>
      <c r="B128" s="278">
        <f>791.2+2245.96+562</f>
        <v>3599.16</v>
      </c>
      <c r="C128" s="152"/>
      <c r="D128" s="59"/>
      <c r="E128" s="86"/>
      <c r="F128" s="281"/>
      <c r="G128" s="268"/>
      <c r="H128" s="8"/>
      <c r="I128" s="33"/>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row>
    <row r="129" spans="1:114" s="46" customFormat="1" ht="163.5" customHeight="1">
      <c r="A129" s="260"/>
      <c r="B129" s="279"/>
      <c r="C129" s="162" t="s">
        <v>128</v>
      </c>
      <c r="D129" s="122">
        <f>33517.38+22321.38+32190+7776.26+1974.78+40315.36+13772.35</f>
        <v>151867.50999999998</v>
      </c>
      <c r="E129" s="105" t="s">
        <v>87</v>
      </c>
      <c r="F129" s="282"/>
      <c r="G129" s="271"/>
      <c r="H129" s="8"/>
      <c r="I129" s="120"/>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row>
    <row r="130" spans="1:114" s="46" customFormat="1" ht="27.75" customHeight="1">
      <c r="A130" s="260"/>
      <c r="B130" s="279"/>
      <c r="C130" s="128" t="s">
        <v>29</v>
      </c>
      <c r="D130" s="109"/>
      <c r="E130" s="122"/>
      <c r="F130" s="282"/>
      <c r="G130" s="271"/>
      <c r="H130" s="8"/>
      <c r="I130" s="120"/>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row>
    <row r="131" spans="1:114" s="46" customFormat="1" ht="153.75" customHeight="1">
      <c r="A131" s="260"/>
      <c r="B131" s="279"/>
      <c r="C131" s="156" t="s">
        <v>106</v>
      </c>
      <c r="D131" s="122">
        <v>142506</v>
      </c>
      <c r="E131" s="105" t="s">
        <v>80</v>
      </c>
      <c r="F131" s="282"/>
      <c r="G131" s="271"/>
      <c r="H131" s="8"/>
      <c r="I131" s="120"/>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row>
    <row r="132" spans="1:114" s="46" customFormat="1" ht="15.75" customHeight="1">
      <c r="A132" s="260"/>
      <c r="B132" s="279"/>
      <c r="C132" s="156" t="s">
        <v>119</v>
      </c>
      <c r="D132" s="122">
        <f>750+240</f>
        <v>990</v>
      </c>
      <c r="E132" s="105" t="s">
        <v>108</v>
      </c>
      <c r="F132" s="282"/>
      <c r="G132" s="271"/>
      <c r="H132" s="8"/>
      <c r="I132" s="120"/>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row>
    <row r="133" spans="1:114" s="46" customFormat="1" ht="24.75" customHeight="1">
      <c r="A133" s="260"/>
      <c r="B133" s="279"/>
      <c r="C133" s="165" t="s">
        <v>113</v>
      </c>
      <c r="D133" s="109">
        <f>1082.18</f>
        <v>1082.18</v>
      </c>
      <c r="E133" s="122" t="s">
        <v>112</v>
      </c>
      <c r="F133" s="282"/>
      <c r="G133" s="271"/>
      <c r="H133" s="8"/>
      <c r="I133" s="120"/>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row>
    <row r="134" spans="1:114" s="46" customFormat="1" ht="45" customHeight="1">
      <c r="A134" s="260"/>
      <c r="B134" s="279"/>
      <c r="C134" s="165" t="s">
        <v>111</v>
      </c>
      <c r="D134" s="109">
        <f>87150+800</f>
        <v>87950</v>
      </c>
      <c r="E134" s="122" t="s">
        <v>110</v>
      </c>
      <c r="F134" s="282"/>
      <c r="G134" s="271"/>
      <c r="H134" s="8"/>
      <c r="I134" s="120"/>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row>
    <row r="135" spans="1:114" s="46" customFormat="1" ht="24" customHeight="1">
      <c r="A135" s="153" t="s">
        <v>15</v>
      </c>
      <c r="B135" s="52">
        <f>SUM(B128:B128)</f>
        <v>3599.16</v>
      </c>
      <c r="C135" s="152"/>
      <c r="D135" s="22">
        <f>SUM(D129:D134)</f>
        <v>384395.69</v>
      </c>
      <c r="E135" s="60"/>
      <c r="F135" s="10">
        <f>F128</f>
        <v>0</v>
      </c>
      <c r="G135" s="41"/>
      <c r="H135" s="50">
        <f>SUM(H128:H134)</f>
        <v>0</v>
      </c>
      <c r="I135" s="33"/>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row>
    <row r="136" spans="1:114" s="46" customFormat="1" ht="29.25" customHeight="1">
      <c r="A136" s="277" t="s">
        <v>37</v>
      </c>
      <c r="B136" s="278"/>
      <c r="C136" s="156" t="s">
        <v>81</v>
      </c>
      <c r="D136" s="144">
        <v>1305.72</v>
      </c>
      <c r="E136" s="105" t="s">
        <v>91</v>
      </c>
      <c r="F136" s="266"/>
      <c r="G136" s="268"/>
      <c r="H136" s="57"/>
      <c r="I136" s="14"/>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row>
    <row r="137" spans="1:114" s="46" customFormat="1" ht="20.25" customHeight="1">
      <c r="A137" s="277"/>
      <c r="B137" s="279"/>
      <c r="C137" s="128" t="s">
        <v>81</v>
      </c>
      <c r="D137" s="109">
        <v>1280.45</v>
      </c>
      <c r="E137" s="59" t="s">
        <v>92</v>
      </c>
      <c r="F137" s="270"/>
      <c r="G137" s="271"/>
      <c r="H137" s="57"/>
      <c r="I137" s="14"/>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row>
    <row r="138" spans="1:114" s="46" customFormat="1" ht="68.25" customHeight="1">
      <c r="A138" s="277"/>
      <c r="B138" s="279"/>
      <c r="C138" s="165" t="s">
        <v>123</v>
      </c>
      <c r="D138" s="122">
        <f>2729.6+1974.78+20217.91</f>
        <v>24922.29</v>
      </c>
      <c r="E138" s="105" t="s">
        <v>87</v>
      </c>
      <c r="F138" s="270"/>
      <c r="G138" s="271"/>
      <c r="H138" s="57"/>
      <c r="I138" s="14"/>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row>
    <row r="139" spans="1:114" s="46" customFormat="1" ht="27" customHeight="1">
      <c r="A139" s="277"/>
      <c r="B139" s="279"/>
      <c r="C139" s="156" t="s">
        <v>120</v>
      </c>
      <c r="D139" s="122">
        <v>240</v>
      </c>
      <c r="E139" s="105" t="s">
        <v>108</v>
      </c>
      <c r="F139" s="270"/>
      <c r="G139" s="271"/>
      <c r="H139" s="57"/>
      <c r="I139" s="14"/>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row>
    <row r="140" spans="1:114" s="46" customFormat="1" ht="16.5" customHeight="1">
      <c r="A140" s="277"/>
      <c r="B140" s="280"/>
      <c r="C140" s="128"/>
      <c r="D140" s="109"/>
      <c r="E140" s="122"/>
      <c r="F140" s="267"/>
      <c r="G140" s="269"/>
      <c r="H140" s="61"/>
      <c r="I140" s="8"/>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row>
    <row r="141" spans="1:114" s="46" customFormat="1" ht="19.5" customHeight="1">
      <c r="A141" s="153" t="s">
        <v>15</v>
      </c>
      <c r="B141" s="64">
        <f>B136</f>
        <v>0</v>
      </c>
      <c r="C141" s="2"/>
      <c r="D141" s="64">
        <f>SUM(D136:D140)</f>
        <v>27748.46</v>
      </c>
      <c r="E141" s="22"/>
      <c r="F141" s="9">
        <f>F136</f>
        <v>0</v>
      </c>
      <c r="G141" s="41"/>
      <c r="H141" s="8">
        <f>SUM(H136:H140)</f>
        <v>0</v>
      </c>
      <c r="I141" s="8"/>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row>
    <row r="142" spans="1:114" s="46" customFormat="1" ht="76.5" customHeight="1">
      <c r="A142" s="254" t="s">
        <v>53</v>
      </c>
      <c r="B142" s="261"/>
      <c r="C142" s="156" t="s">
        <v>126</v>
      </c>
      <c r="D142" s="122">
        <f>1974.78+26331.26</f>
        <v>28306.039999999997</v>
      </c>
      <c r="E142" s="105" t="s">
        <v>87</v>
      </c>
      <c r="F142" s="266"/>
      <c r="G142" s="268"/>
      <c r="H142" s="8"/>
      <c r="I142" s="8"/>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row>
    <row r="143" spans="1:114" s="46" customFormat="1" ht="45.75" customHeight="1">
      <c r="A143" s="260"/>
      <c r="B143" s="262"/>
      <c r="C143" s="158" t="s">
        <v>140</v>
      </c>
      <c r="D143" s="122">
        <f>7740+6552</f>
        <v>14292</v>
      </c>
      <c r="E143" s="122" t="s">
        <v>108</v>
      </c>
      <c r="F143" s="270"/>
      <c r="G143" s="271"/>
      <c r="H143" s="8"/>
      <c r="I143" s="8"/>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row>
    <row r="144" spans="1:114" s="46" customFormat="1" ht="19.5" customHeight="1">
      <c r="A144" s="260"/>
      <c r="B144" s="262"/>
      <c r="C144" s="158" t="s">
        <v>134</v>
      </c>
      <c r="D144" s="122">
        <v>4320</v>
      </c>
      <c r="E144" s="106" t="s">
        <v>141</v>
      </c>
      <c r="F144" s="267"/>
      <c r="G144" s="269"/>
      <c r="H144" s="61"/>
      <c r="I144" s="8"/>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row>
    <row r="145" spans="1:114" s="46" customFormat="1" ht="21" customHeight="1">
      <c r="A145" s="153" t="s">
        <v>15</v>
      </c>
      <c r="B145" s="64">
        <f>SUM(B142)</f>
        <v>0</v>
      </c>
      <c r="C145" s="2"/>
      <c r="D145" s="64">
        <f>SUM(D142:D144)</f>
        <v>46918.03999999999</v>
      </c>
      <c r="E145" s="22"/>
      <c r="F145" s="9">
        <f>F142</f>
        <v>0</v>
      </c>
      <c r="G145" s="41"/>
      <c r="H145" s="8">
        <f>SUM(H142:H144)</f>
        <v>0</v>
      </c>
      <c r="I145" s="8"/>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row>
    <row r="146" spans="1:114" s="46" customFormat="1" ht="21" customHeight="1">
      <c r="A146" s="254" t="s">
        <v>77</v>
      </c>
      <c r="B146" s="261"/>
      <c r="C146" s="19"/>
      <c r="D146" s="134"/>
      <c r="E146" s="122"/>
      <c r="F146" s="126"/>
      <c r="G146" s="119"/>
      <c r="H146" s="8"/>
      <c r="I146" s="8"/>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row>
    <row r="147" spans="1:114" s="46" customFormat="1" ht="17.25" customHeight="1">
      <c r="A147" s="260"/>
      <c r="B147" s="262"/>
      <c r="C147" s="166"/>
      <c r="D147" s="122"/>
      <c r="E147" s="135"/>
      <c r="F147" s="266"/>
      <c r="G147" s="268"/>
      <c r="H147" s="59"/>
      <c r="I147" s="94"/>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row>
    <row r="148" spans="1:114" s="46" customFormat="1" ht="13.5" customHeight="1">
      <c r="A148" s="260"/>
      <c r="B148" s="262"/>
      <c r="C148" s="166"/>
      <c r="D148" s="122"/>
      <c r="E148" s="106"/>
      <c r="F148" s="270"/>
      <c r="G148" s="271"/>
      <c r="H148" s="59"/>
      <c r="I148" s="94"/>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row>
    <row r="149" spans="1:114" s="46" customFormat="1" ht="20.25" customHeight="1">
      <c r="A149" s="255"/>
      <c r="B149" s="265"/>
      <c r="C149" s="166"/>
      <c r="D149" s="131"/>
      <c r="E149" s="109"/>
      <c r="F149" s="267"/>
      <c r="G149" s="269"/>
      <c r="H149" s="8"/>
      <c r="I149" s="8"/>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row>
    <row r="150" spans="1:114" s="46" customFormat="1" ht="19.5" customHeight="1">
      <c r="A150" s="153" t="s">
        <v>15</v>
      </c>
      <c r="B150" s="22">
        <f>SUM(B146)</f>
        <v>0</v>
      </c>
      <c r="C150" s="2"/>
      <c r="D150" s="23">
        <f>SUM(D146:D149)</f>
        <v>0</v>
      </c>
      <c r="E150" s="103"/>
      <c r="F150" s="9">
        <f>F147</f>
        <v>0</v>
      </c>
      <c r="G150" s="41"/>
      <c r="H150" s="8">
        <f>SUM(H147:H149)</f>
        <v>0</v>
      </c>
      <c r="I150" s="8"/>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row>
    <row r="151" spans="1:114" s="46" customFormat="1" ht="21" customHeight="1">
      <c r="A151" s="254" t="s">
        <v>38</v>
      </c>
      <c r="B151" s="261"/>
      <c r="C151" s="167"/>
      <c r="D151" s="59"/>
      <c r="E151" s="87"/>
      <c r="F151" s="266"/>
      <c r="G151" s="268"/>
      <c r="H151" s="57"/>
      <c r="I151" s="14"/>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row>
    <row r="152" spans="1:114" s="46" customFormat="1" ht="15.75" customHeight="1">
      <c r="A152" s="255"/>
      <c r="B152" s="265"/>
      <c r="C152" s="152"/>
      <c r="D152" s="83"/>
      <c r="E152" s="122"/>
      <c r="F152" s="267"/>
      <c r="G152" s="269"/>
      <c r="H152" s="8"/>
      <c r="I152" s="8"/>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row>
    <row r="153" spans="1:114" s="46" customFormat="1" ht="19.5" customHeight="1">
      <c r="A153" s="153" t="s">
        <v>15</v>
      </c>
      <c r="B153" s="22">
        <f>B151</f>
        <v>0</v>
      </c>
      <c r="C153" s="2"/>
      <c r="D153" s="23">
        <f>D151+D152</f>
        <v>0</v>
      </c>
      <c r="E153" s="59"/>
      <c r="F153" s="9">
        <f>F151</f>
        <v>0</v>
      </c>
      <c r="G153" s="41"/>
      <c r="H153" s="8">
        <f>SUM(H151:H152)</f>
        <v>0</v>
      </c>
      <c r="I153" s="8"/>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row>
    <row r="154" spans="1:114" s="46" customFormat="1" ht="84" customHeight="1">
      <c r="A154" s="254" t="s">
        <v>56</v>
      </c>
      <c r="B154" s="261">
        <v>150</v>
      </c>
      <c r="C154" s="128" t="s">
        <v>124</v>
      </c>
      <c r="D154" s="60">
        <f>5046.66+1974.78+26368.76</f>
        <v>33390.2</v>
      </c>
      <c r="E154" s="105" t="s">
        <v>87</v>
      </c>
      <c r="F154" s="266"/>
      <c r="G154" s="274"/>
      <c r="H154" s="57"/>
      <c r="I154" s="14"/>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row>
    <row r="155" spans="1:114" s="46" customFormat="1" ht="19.5" customHeight="1">
      <c r="A155" s="260"/>
      <c r="B155" s="262"/>
      <c r="C155" s="149" t="s">
        <v>118</v>
      </c>
      <c r="D155" s="60"/>
      <c r="E155" s="105"/>
      <c r="F155" s="270"/>
      <c r="G155" s="275"/>
      <c r="H155" s="57"/>
      <c r="I155" s="14"/>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row>
    <row r="156" spans="1:114" s="46" customFormat="1" ht="33" customHeight="1">
      <c r="A156" s="255"/>
      <c r="B156" s="265"/>
      <c r="C156" s="114" t="s">
        <v>139</v>
      </c>
      <c r="D156" s="82">
        <v>7740</v>
      </c>
      <c r="E156" s="59" t="s">
        <v>131</v>
      </c>
      <c r="F156" s="267"/>
      <c r="G156" s="276"/>
      <c r="H156" s="8"/>
      <c r="I156" s="8"/>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row>
    <row r="157" spans="1:114" s="46" customFormat="1" ht="21.75" customHeight="1">
      <c r="A157" s="153" t="s">
        <v>15</v>
      </c>
      <c r="B157" s="22">
        <f>B154</f>
        <v>150</v>
      </c>
      <c r="C157" s="2"/>
      <c r="D157" s="23">
        <f>SUM(D154:D156)</f>
        <v>41130.2</v>
      </c>
      <c r="E157" s="59"/>
      <c r="F157" s="9">
        <f>F154</f>
        <v>0</v>
      </c>
      <c r="G157" s="41"/>
      <c r="H157" s="8">
        <f>SUM(H154:H156)</f>
        <v>0</v>
      </c>
      <c r="I157" s="8"/>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row>
    <row r="158" spans="1:114" s="46" customFormat="1" ht="21" customHeight="1">
      <c r="A158" s="254" t="s">
        <v>78</v>
      </c>
      <c r="B158" s="261"/>
      <c r="C158" s="156" t="s">
        <v>81</v>
      </c>
      <c r="D158" s="144">
        <v>673.92</v>
      </c>
      <c r="E158" s="105" t="s">
        <v>91</v>
      </c>
      <c r="F158" s="126"/>
      <c r="G158" s="119"/>
      <c r="H158" s="8"/>
      <c r="I158" s="8"/>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row>
    <row r="159" spans="1:114" s="46" customFormat="1" ht="24.75" customHeight="1">
      <c r="A159" s="260"/>
      <c r="B159" s="262"/>
      <c r="C159" s="128" t="s">
        <v>81</v>
      </c>
      <c r="D159" s="109">
        <v>2560.9</v>
      </c>
      <c r="E159" s="59" t="s">
        <v>92</v>
      </c>
      <c r="F159" s="126"/>
      <c r="G159" s="119"/>
      <c r="H159" s="8"/>
      <c r="I159" s="8"/>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row>
    <row r="160" spans="1:114" s="46" customFormat="1" ht="54" customHeight="1">
      <c r="A160" s="260"/>
      <c r="B160" s="262"/>
      <c r="C160" s="136" t="s">
        <v>93</v>
      </c>
      <c r="D160" s="131">
        <v>165000</v>
      </c>
      <c r="E160" s="135" t="s">
        <v>97</v>
      </c>
      <c r="F160" s="126"/>
      <c r="G160" s="119"/>
      <c r="H160" s="8"/>
      <c r="I160" s="8"/>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row>
    <row r="161" spans="1:114" s="46" customFormat="1" ht="66" customHeight="1">
      <c r="A161" s="260"/>
      <c r="B161" s="262"/>
      <c r="C161" s="128" t="s">
        <v>125</v>
      </c>
      <c r="D161" s="148">
        <f>26825+2729.6+1974.78+13772.35</f>
        <v>45301.729999999996</v>
      </c>
      <c r="E161" s="105" t="s">
        <v>87</v>
      </c>
      <c r="F161" s="266"/>
      <c r="G161" s="268"/>
      <c r="H161" s="59"/>
      <c r="I161" s="94"/>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row>
    <row r="162" spans="1:114" s="46" customFormat="1" ht="22.5" customHeight="1">
      <c r="A162" s="260"/>
      <c r="B162" s="262"/>
      <c r="C162" s="156" t="s">
        <v>143</v>
      </c>
      <c r="D162" s="122">
        <f>75+544</f>
        <v>619</v>
      </c>
      <c r="E162" s="105" t="s">
        <v>108</v>
      </c>
      <c r="F162" s="270"/>
      <c r="G162" s="271"/>
      <c r="H162" s="59"/>
      <c r="I162" s="94"/>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row>
    <row r="163" spans="1:114" s="46" customFormat="1" ht="15.75">
      <c r="A163" s="255"/>
      <c r="B163" s="265"/>
      <c r="C163" s="162"/>
      <c r="D163" s="122"/>
      <c r="E163" s="105"/>
      <c r="F163" s="267"/>
      <c r="G163" s="269"/>
      <c r="H163" s="8"/>
      <c r="I163" s="8"/>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row>
    <row r="164" spans="1:114" s="46" customFormat="1" ht="19.5" customHeight="1">
      <c r="A164" s="153" t="s">
        <v>15</v>
      </c>
      <c r="B164" s="22">
        <f>SUM(B158)</f>
        <v>0</v>
      </c>
      <c r="C164" s="2"/>
      <c r="D164" s="23">
        <f>SUM(D158:D163)</f>
        <v>214155.55</v>
      </c>
      <c r="E164" s="59"/>
      <c r="F164" s="9">
        <f>F161</f>
        <v>0</v>
      </c>
      <c r="G164" s="41"/>
      <c r="H164" s="8">
        <f>SUM(H161:H163)</f>
        <v>0</v>
      </c>
      <c r="I164" s="8"/>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row>
    <row r="165" spans="1:114" s="46" customFormat="1" ht="20.25" customHeight="1" hidden="1">
      <c r="A165" s="254" t="s">
        <v>39</v>
      </c>
      <c r="B165" s="261"/>
      <c r="C165" s="272"/>
      <c r="D165" s="83"/>
      <c r="E165" s="16"/>
      <c r="F165" s="266"/>
      <c r="G165" s="268"/>
      <c r="H165" s="57"/>
      <c r="I165" s="14"/>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row>
    <row r="166" spans="1:114" s="46" customFormat="1" ht="0.75" customHeight="1" hidden="1">
      <c r="A166" s="260"/>
      <c r="B166" s="262"/>
      <c r="C166" s="273"/>
      <c r="D166" s="88"/>
      <c r="E166" s="88"/>
      <c r="F166" s="270"/>
      <c r="G166" s="271"/>
      <c r="H166" s="8"/>
      <c r="I166" s="8"/>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row>
    <row r="167" spans="1:114" s="46" customFormat="1" ht="20.25" customHeight="1" hidden="1">
      <c r="A167" s="255"/>
      <c r="B167" s="265"/>
      <c r="C167" s="152"/>
      <c r="D167" s="59"/>
      <c r="E167" s="78"/>
      <c r="F167" s="267"/>
      <c r="G167" s="269"/>
      <c r="H167" s="8"/>
      <c r="I167" s="8"/>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row>
    <row r="168" spans="1:114" s="46" customFormat="1" ht="19.5" customHeight="1" hidden="1">
      <c r="A168" s="153" t="s">
        <v>15</v>
      </c>
      <c r="B168" s="22">
        <f>SUM(B165)</f>
        <v>0</v>
      </c>
      <c r="C168" s="2"/>
      <c r="D168" s="23">
        <f>SUM(D165:D167)</f>
        <v>0</v>
      </c>
      <c r="E168" s="59"/>
      <c r="F168" s="9">
        <f>F165</f>
        <v>0</v>
      </c>
      <c r="G168" s="41"/>
      <c r="H168" s="8">
        <f>SUM(H165:H167)</f>
        <v>0</v>
      </c>
      <c r="I168" s="8"/>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row>
    <row r="169" spans="1:114" s="46" customFormat="1" ht="27.75" customHeight="1">
      <c r="A169" s="254" t="s">
        <v>40</v>
      </c>
      <c r="B169" s="261"/>
      <c r="C169" s="156" t="s">
        <v>81</v>
      </c>
      <c r="D169" s="144">
        <v>673.92</v>
      </c>
      <c r="E169" s="105" t="s">
        <v>91</v>
      </c>
      <c r="F169" s="126"/>
      <c r="G169" s="119"/>
      <c r="H169" s="8"/>
      <c r="I169" s="8"/>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row>
    <row r="170" spans="1:114" s="46" customFormat="1" ht="24.75" customHeight="1">
      <c r="A170" s="260"/>
      <c r="B170" s="262"/>
      <c r="C170" s="128" t="s">
        <v>81</v>
      </c>
      <c r="D170" s="109">
        <v>1920.47</v>
      </c>
      <c r="E170" s="59" t="s">
        <v>92</v>
      </c>
      <c r="F170" s="126"/>
      <c r="G170" s="119"/>
      <c r="H170" s="8"/>
      <c r="I170" s="8"/>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row>
    <row r="171" spans="1:114" s="46" customFormat="1" ht="61.5" customHeight="1">
      <c r="A171" s="260"/>
      <c r="B171" s="262"/>
      <c r="C171" s="136" t="s">
        <v>93</v>
      </c>
      <c r="D171" s="131">
        <v>165000</v>
      </c>
      <c r="E171" s="135" t="s">
        <v>97</v>
      </c>
      <c r="F171" s="266"/>
      <c r="G171" s="268"/>
      <c r="H171" s="57"/>
      <c r="I171" s="14"/>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row>
    <row r="172" spans="1:114" s="46" customFormat="1" ht="69.75" customHeight="1">
      <c r="A172" s="260"/>
      <c r="B172" s="262"/>
      <c r="C172" s="128" t="s">
        <v>125</v>
      </c>
      <c r="D172" s="148">
        <f>26825+2729.6+1974.78+13772.35</f>
        <v>45301.729999999996</v>
      </c>
      <c r="E172" s="105" t="s">
        <v>87</v>
      </c>
      <c r="F172" s="270"/>
      <c r="G172" s="271"/>
      <c r="H172" s="57"/>
      <c r="I172" s="14"/>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row>
    <row r="173" spans="1:114" s="46" customFormat="1" ht="22.5" customHeight="1">
      <c r="A173" s="260"/>
      <c r="B173" s="262"/>
      <c r="C173" s="156" t="s">
        <v>81</v>
      </c>
      <c r="D173" s="122">
        <v>960</v>
      </c>
      <c r="E173" s="105" t="s">
        <v>117</v>
      </c>
      <c r="F173" s="270"/>
      <c r="G173" s="271"/>
      <c r="H173" s="57"/>
      <c r="I173" s="14"/>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row>
    <row r="174" spans="1:114" s="46" customFormat="1" ht="9.75" customHeight="1">
      <c r="A174" s="260"/>
      <c r="B174" s="262"/>
      <c r="C174" s="165"/>
      <c r="D174" s="131"/>
      <c r="E174" s="132"/>
      <c r="F174" s="270"/>
      <c r="G174" s="271"/>
      <c r="H174" s="57"/>
      <c r="I174" s="14"/>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row>
    <row r="175" spans="1:114" s="46" customFormat="1" ht="20.25" customHeight="1">
      <c r="A175" s="255"/>
      <c r="B175" s="265"/>
      <c r="C175" s="156"/>
      <c r="D175" s="122"/>
      <c r="E175" s="109"/>
      <c r="F175" s="267"/>
      <c r="G175" s="269"/>
      <c r="H175" s="8"/>
      <c r="I175" s="8"/>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row>
    <row r="176" spans="1:114" s="46" customFormat="1" ht="21" customHeight="1">
      <c r="A176" s="153" t="s">
        <v>15</v>
      </c>
      <c r="B176" s="22">
        <f>SUM(B169)</f>
        <v>0</v>
      </c>
      <c r="C176" s="2"/>
      <c r="D176" s="23">
        <f>SUM(D169:D175)</f>
        <v>213856.12</v>
      </c>
      <c r="E176" s="103"/>
      <c r="F176" s="9">
        <f>F171</f>
        <v>0</v>
      </c>
      <c r="G176" s="41"/>
      <c r="H176" s="8">
        <f>SUM(H171:H175)</f>
        <v>0</v>
      </c>
      <c r="I176" s="8"/>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row>
    <row r="177" spans="1:114" s="46" customFormat="1" ht="27.75" customHeight="1">
      <c r="A177" s="254" t="s">
        <v>31</v>
      </c>
      <c r="B177" s="261"/>
      <c r="C177" s="152"/>
      <c r="D177" s="59"/>
      <c r="E177" s="78"/>
      <c r="F177" s="266"/>
      <c r="G177" s="268"/>
      <c r="H177" s="57"/>
      <c r="I177" s="14"/>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row>
    <row r="178" spans="1:114" s="46" customFormat="1" ht="18" customHeight="1">
      <c r="A178" s="255"/>
      <c r="B178" s="265"/>
      <c r="C178" s="168"/>
      <c r="D178" s="59"/>
      <c r="E178" s="122"/>
      <c r="F178" s="267"/>
      <c r="G178" s="269"/>
      <c r="H178" s="8"/>
      <c r="I178" s="8"/>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row>
    <row r="179" spans="1:114" s="46" customFormat="1" ht="18.75" customHeight="1">
      <c r="A179" s="153" t="s">
        <v>15</v>
      </c>
      <c r="B179" s="22">
        <f>B177</f>
        <v>0</v>
      </c>
      <c r="C179" s="2"/>
      <c r="D179" s="23">
        <f>SUM(D177:D178)</f>
        <v>0</v>
      </c>
      <c r="E179" s="22"/>
      <c r="F179" s="9">
        <f>F177</f>
        <v>0</v>
      </c>
      <c r="G179" s="41"/>
      <c r="H179" s="8">
        <f>SUM(H177:H178)</f>
        <v>0</v>
      </c>
      <c r="I179" s="8"/>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row>
    <row r="180" spans="1:114" s="46" customFormat="1" ht="80.25" customHeight="1">
      <c r="A180" s="254" t="s">
        <v>41</v>
      </c>
      <c r="B180" s="261">
        <v>420</v>
      </c>
      <c r="C180" s="156" t="s">
        <v>124</v>
      </c>
      <c r="D180" s="59">
        <f>5046.66+1974.78+26717.11</f>
        <v>33738.55</v>
      </c>
      <c r="E180" s="105" t="s">
        <v>87</v>
      </c>
      <c r="F180" s="266"/>
      <c r="G180" s="268"/>
      <c r="H180" s="8"/>
      <c r="I180" s="8"/>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row>
    <row r="181" spans="1:114" s="46" customFormat="1" ht="45.75" customHeight="1">
      <c r="A181" s="260"/>
      <c r="B181" s="262"/>
      <c r="C181" s="128" t="s">
        <v>137</v>
      </c>
      <c r="D181" s="109">
        <f>6420+8100</f>
        <v>14520</v>
      </c>
      <c r="E181" s="105" t="s">
        <v>108</v>
      </c>
      <c r="F181" s="270"/>
      <c r="G181" s="271"/>
      <c r="H181" s="8"/>
      <c r="I181" s="8"/>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row>
    <row r="182" spans="1:114" s="46" customFormat="1" ht="19.5" customHeight="1">
      <c r="A182" s="260"/>
      <c r="B182" s="262"/>
      <c r="C182" s="165" t="s">
        <v>118</v>
      </c>
      <c r="D182" s="109"/>
      <c r="E182" s="122"/>
      <c r="F182" s="270"/>
      <c r="G182" s="271"/>
      <c r="H182" s="8"/>
      <c r="I182" s="8"/>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row>
    <row r="183" spans="1:114" s="46" customFormat="1" ht="15" customHeight="1">
      <c r="A183" s="255"/>
      <c r="B183" s="265"/>
      <c r="C183" s="152"/>
      <c r="D183" s="82"/>
      <c r="E183" s="78"/>
      <c r="F183" s="267"/>
      <c r="G183" s="269"/>
      <c r="H183" s="59"/>
      <c r="I183" s="96"/>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row>
    <row r="184" spans="1:114" s="46" customFormat="1" ht="23.25" customHeight="1">
      <c r="A184" s="153" t="s">
        <v>15</v>
      </c>
      <c r="B184" s="22">
        <f>B180</f>
        <v>420</v>
      </c>
      <c r="C184" s="2"/>
      <c r="D184" s="23">
        <f>SUM(D180:D183)</f>
        <v>48258.55</v>
      </c>
      <c r="E184" s="103"/>
      <c r="F184" s="9">
        <f>F180</f>
        <v>0</v>
      </c>
      <c r="G184" s="41"/>
      <c r="H184" s="8">
        <f>SUM(H180:H183)</f>
        <v>0</v>
      </c>
      <c r="I184" s="8"/>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row>
    <row r="185" spans="1:114" s="46" customFormat="1" ht="38.25" customHeight="1">
      <c r="A185" s="258" t="s">
        <v>79</v>
      </c>
      <c r="B185" s="256"/>
      <c r="C185" s="21" t="s">
        <v>85</v>
      </c>
      <c r="D185" s="60">
        <v>413673.75</v>
      </c>
      <c r="E185" s="125" t="s">
        <v>86</v>
      </c>
      <c r="F185" s="9"/>
      <c r="G185" s="41"/>
      <c r="H185" s="8"/>
      <c r="I185" s="8"/>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row>
    <row r="186" spans="1:114" s="46" customFormat="1" ht="13.5" customHeight="1">
      <c r="A186" s="263"/>
      <c r="B186" s="264"/>
      <c r="C186" s="21"/>
      <c r="D186" s="60"/>
      <c r="E186" s="103"/>
      <c r="F186" s="9"/>
      <c r="G186" s="41"/>
      <c r="H186" s="8"/>
      <c r="I186" s="8"/>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row>
    <row r="187" spans="1:114" s="46" customFormat="1" ht="16.5" customHeight="1">
      <c r="A187" s="259"/>
      <c r="B187" s="257"/>
      <c r="C187" s="21"/>
      <c r="D187" s="60"/>
      <c r="E187" s="59"/>
      <c r="F187" s="12"/>
      <c r="G187" s="41"/>
      <c r="H187" s="5"/>
      <c r="I187" s="14"/>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row>
    <row r="188" spans="1:114" s="46" customFormat="1" ht="23.25" customHeight="1">
      <c r="A188" s="153" t="s">
        <v>15</v>
      </c>
      <c r="B188" s="22">
        <v>0</v>
      </c>
      <c r="C188" s="2"/>
      <c r="D188" s="23">
        <f>SUM(D185:D187)</f>
        <v>413673.75</v>
      </c>
      <c r="E188" s="22"/>
      <c r="F188" s="9">
        <v>0</v>
      </c>
      <c r="G188" s="41"/>
      <c r="H188" s="50">
        <f>SUM(H187)</f>
        <v>0</v>
      </c>
      <c r="I188" s="8"/>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row>
    <row r="189" spans="1:114" s="46" customFormat="1" ht="31.5" customHeight="1">
      <c r="A189" s="254" t="s">
        <v>47</v>
      </c>
      <c r="B189" s="261"/>
      <c r="C189" s="152" t="s">
        <v>98</v>
      </c>
      <c r="D189" s="82">
        <f>5046.66</f>
        <v>5046.66</v>
      </c>
      <c r="E189" s="105" t="s">
        <v>87</v>
      </c>
      <c r="F189" s="6"/>
      <c r="G189" s="41"/>
      <c r="H189" s="57"/>
      <c r="I189" s="14"/>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row>
    <row r="190" spans="1:114" s="46" customFormat="1" ht="31.5" customHeight="1">
      <c r="A190" s="260"/>
      <c r="B190" s="262"/>
      <c r="C190" s="152" t="s">
        <v>134</v>
      </c>
      <c r="D190" s="82">
        <v>4320</v>
      </c>
      <c r="E190" s="122" t="s">
        <v>117</v>
      </c>
      <c r="F190" s="6"/>
      <c r="G190" s="41"/>
      <c r="H190" s="57"/>
      <c r="I190" s="14"/>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row>
    <row r="191" spans="1:114" s="46" customFormat="1" ht="21" customHeight="1">
      <c r="A191" s="255"/>
      <c r="B191" s="265"/>
      <c r="C191" s="156"/>
      <c r="D191" s="82"/>
      <c r="E191" s="16"/>
      <c r="F191" s="6"/>
      <c r="G191" s="41"/>
      <c r="H191" s="57"/>
      <c r="I191" s="14"/>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row>
    <row r="192" spans="1:114" s="46" customFormat="1" ht="24.75" customHeight="1">
      <c r="A192" s="153" t="s">
        <v>15</v>
      </c>
      <c r="B192" s="22">
        <f>B189</f>
        <v>0</v>
      </c>
      <c r="C192" s="2"/>
      <c r="D192" s="23">
        <f>SUM(D189:D191)</f>
        <v>9366.66</v>
      </c>
      <c r="E192" s="22"/>
      <c r="F192" s="9"/>
      <c r="G192" s="41"/>
      <c r="H192" s="8">
        <f>H189</f>
        <v>0</v>
      </c>
      <c r="I192" s="8"/>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row>
    <row r="193" spans="1:114" s="46" customFormat="1" ht="24.75" customHeight="1">
      <c r="A193" s="254" t="s">
        <v>36</v>
      </c>
      <c r="B193" s="256"/>
      <c r="C193" s="21"/>
      <c r="D193" s="60"/>
      <c r="E193" s="122"/>
      <c r="F193" s="9"/>
      <c r="G193" s="41"/>
      <c r="H193" s="8"/>
      <c r="I193" s="8"/>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row>
    <row r="194" spans="1:114" s="46" customFormat="1" ht="15.75" customHeight="1">
      <c r="A194" s="255"/>
      <c r="B194" s="257"/>
      <c r="C194" s="152"/>
      <c r="D194" s="82"/>
      <c r="E194" s="16"/>
      <c r="F194" s="6"/>
      <c r="G194" s="41"/>
      <c r="H194" s="57"/>
      <c r="I194" s="14"/>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row>
    <row r="195" spans="1:114" s="46" customFormat="1" ht="20.25" customHeight="1">
      <c r="A195" s="153" t="s">
        <v>15</v>
      </c>
      <c r="B195" s="22">
        <f>B194</f>
        <v>0</v>
      </c>
      <c r="C195" s="2"/>
      <c r="D195" s="23">
        <f>SUM(D193:D194)</f>
        <v>0</v>
      </c>
      <c r="E195" s="22"/>
      <c r="F195" s="9"/>
      <c r="G195" s="41"/>
      <c r="H195" s="8">
        <f>H194</f>
        <v>0</v>
      </c>
      <c r="I195" s="8"/>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row>
    <row r="196" spans="1:114" s="46" customFormat="1" ht="20.25" customHeight="1">
      <c r="A196" s="254" t="s">
        <v>43</v>
      </c>
      <c r="B196" s="256"/>
      <c r="C196" s="21"/>
      <c r="D196" s="60"/>
      <c r="E196" s="122"/>
      <c r="F196" s="9"/>
      <c r="G196" s="41"/>
      <c r="H196" s="8"/>
      <c r="I196" s="8"/>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row>
    <row r="197" spans="1:114" s="46" customFormat="1" ht="30.75" customHeight="1">
      <c r="A197" s="255"/>
      <c r="B197" s="257"/>
      <c r="C197" s="152"/>
      <c r="D197" s="83"/>
      <c r="E197" s="16"/>
      <c r="F197" s="6"/>
      <c r="G197" s="41"/>
      <c r="H197" s="57"/>
      <c r="I197" s="14"/>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row>
    <row r="198" spans="1:114" s="46" customFormat="1" ht="23.25" customHeight="1">
      <c r="A198" s="153" t="s">
        <v>15</v>
      </c>
      <c r="B198" s="22">
        <f>B197</f>
        <v>0</v>
      </c>
      <c r="C198" s="2"/>
      <c r="D198" s="23">
        <f>SUM(D196:D197)</f>
        <v>0</v>
      </c>
      <c r="E198" s="22"/>
      <c r="F198" s="9"/>
      <c r="G198" s="41"/>
      <c r="H198" s="8">
        <f>H197</f>
        <v>0</v>
      </c>
      <c r="I198" s="8"/>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row>
    <row r="199" spans="1:114" s="46" customFormat="1" ht="30.75" customHeight="1">
      <c r="A199" s="258" t="s">
        <v>52</v>
      </c>
      <c r="B199" s="256"/>
      <c r="C199" s="21" t="s">
        <v>98</v>
      </c>
      <c r="D199" s="60">
        <f>5046.66</f>
        <v>5046.66</v>
      </c>
      <c r="E199" s="105" t="s">
        <v>87</v>
      </c>
      <c r="F199" s="9"/>
      <c r="G199" s="41"/>
      <c r="H199" s="8"/>
      <c r="I199" s="8"/>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row>
    <row r="200" spans="1:114" s="46" customFormat="1" ht="28.5" customHeight="1">
      <c r="A200" s="259"/>
      <c r="B200" s="257"/>
      <c r="C200" s="21" t="s">
        <v>135</v>
      </c>
      <c r="D200" s="82">
        <v>4320</v>
      </c>
      <c r="E200" s="16" t="s">
        <v>117</v>
      </c>
      <c r="F200" s="9"/>
      <c r="G200" s="41"/>
      <c r="H200" s="57"/>
      <c r="I200" s="14"/>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row>
    <row r="201" spans="1:114" s="46" customFormat="1" ht="29.25" customHeight="1">
      <c r="A201" s="153" t="s">
        <v>15</v>
      </c>
      <c r="B201" s="22">
        <f>B200</f>
        <v>0</v>
      </c>
      <c r="C201" s="2"/>
      <c r="D201" s="23">
        <f>SUM(D199:D200)</f>
        <v>9366.66</v>
      </c>
      <c r="E201" s="22"/>
      <c r="F201" s="9"/>
      <c r="G201" s="41"/>
      <c r="H201" s="8">
        <f>H200</f>
        <v>0</v>
      </c>
      <c r="I201" s="8"/>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row>
    <row r="202" spans="1:114" s="46" customFormat="1" ht="39.75" customHeight="1">
      <c r="A202" s="78" t="s">
        <v>50</v>
      </c>
      <c r="B202" s="59"/>
      <c r="C202" s="21" t="s">
        <v>96</v>
      </c>
      <c r="D202" s="148">
        <v>85840</v>
      </c>
      <c r="E202" s="105" t="s">
        <v>87</v>
      </c>
      <c r="F202" s="6"/>
      <c r="G202" s="41"/>
      <c r="H202" s="57"/>
      <c r="I202" s="14"/>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row>
    <row r="203" spans="1:114" s="46" customFormat="1" ht="24.75" customHeight="1">
      <c r="A203" s="153" t="s">
        <v>15</v>
      </c>
      <c r="B203" s="22">
        <f>SUM(B202)</f>
        <v>0</v>
      </c>
      <c r="C203" s="2"/>
      <c r="D203" s="23">
        <f>D202</f>
        <v>85840</v>
      </c>
      <c r="E203" s="22"/>
      <c r="F203" s="9"/>
      <c r="G203" s="41"/>
      <c r="H203" s="8">
        <f>H202</f>
        <v>0</v>
      </c>
      <c r="I203" s="8"/>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row>
    <row r="204" spans="1:114" s="46" customFormat="1" ht="32.25" customHeight="1">
      <c r="A204" s="254" t="s">
        <v>42</v>
      </c>
      <c r="B204" s="256"/>
      <c r="C204" s="21" t="s">
        <v>145</v>
      </c>
      <c r="D204" s="60">
        <v>5178.96</v>
      </c>
      <c r="E204" s="59" t="s">
        <v>144</v>
      </c>
      <c r="F204" s="9"/>
      <c r="G204" s="41"/>
      <c r="H204" s="8"/>
      <c r="I204" s="8"/>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row>
    <row r="205" spans="1:114" s="46" customFormat="1" ht="27.75" customHeight="1">
      <c r="A205" s="255"/>
      <c r="B205" s="257"/>
      <c r="C205" s="152" t="s">
        <v>122</v>
      </c>
      <c r="D205" s="82">
        <v>980</v>
      </c>
      <c r="E205" s="16" t="s">
        <v>108</v>
      </c>
      <c r="F205" s="6"/>
      <c r="G205" s="41"/>
      <c r="H205" s="57"/>
      <c r="I205" s="14"/>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row>
    <row r="206" spans="1:114" s="46" customFormat="1" ht="23.25" customHeight="1">
      <c r="A206" s="153" t="s">
        <v>15</v>
      </c>
      <c r="B206" s="22">
        <f>SUM(B204)</f>
        <v>0</v>
      </c>
      <c r="C206" s="2"/>
      <c r="D206" s="23">
        <f>SUM(D204:D205)</f>
        <v>6158.96</v>
      </c>
      <c r="E206" s="22"/>
      <c r="F206" s="9"/>
      <c r="G206" s="41"/>
      <c r="H206" s="8">
        <f>H205</f>
        <v>0</v>
      </c>
      <c r="I206" s="8"/>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row>
    <row r="207" spans="1:114" s="46" customFormat="1" ht="15.75" customHeight="1">
      <c r="A207" s="254" t="s">
        <v>48</v>
      </c>
      <c r="B207" s="261"/>
      <c r="C207" s="251"/>
      <c r="D207" s="83"/>
      <c r="E207" s="16"/>
      <c r="F207" s="6"/>
      <c r="G207" s="41"/>
      <c r="H207" s="57"/>
      <c r="I207" s="14"/>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row>
    <row r="208" spans="1:114" s="46" customFormat="1" ht="19.5" customHeight="1">
      <c r="A208" s="260"/>
      <c r="B208" s="262"/>
      <c r="C208" s="252"/>
      <c r="D208" s="59"/>
      <c r="E208" s="74"/>
      <c r="F208" s="6"/>
      <c r="G208" s="41"/>
      <c r="H208" s="8"/>
      <c r="I208" s="8"/>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row>
    <row r="209" spans="1:114" s="46" customFormat="1" ht="24" customHeight="1">
      <c r="A209" s="169" t="s">
        <v>15</v>
      </c>
      <c r="B209" s="22">
        <f>B207</f>
        <v>0</v>
      </c>
      <c r="C209" s="253"/>
      <c r="D209" s="22">
        <f>D207+D208</f>
        <v>0</v>
      </c>
      <c r="E209" s="85"/>
      <c r="F209" s="6"/>
      <c r="G209" s="41"/>
      <c r="H209" s="8">
        <f>H207+H208</f>
        <v>0</v>
      </c>
      <c r="I209" s="8"/>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row>
    <row r="210" spans="1:114" s="46" customFormat="1" ht="39" customHeight="1">
      <c r="A210" s="78" t="s">
        <v>51</v>
      </c>
      <c r="B210" s="59"/>
      <c r="C210" s="152"/>
      <c r="D210" s="82"/>
      <c r="E210" s="16"/>
      <c r="F210" s="6"/>
      <c r="G210" s="41"/>
      <c r="H210" s="5"/>
      <c r="I210" s="14"/>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row>
    <row r="211" spans="1:114" s="46" customFormat="1" ht="24.75" customHeight="1" thickBot="1">
      <c r="A211" s="153" t="s">
        <v>15</v>
      </c>
      <c r="B211" s="39">
        <f>B210</f>
        <v>0</v>
      </c>
      <c r="C211" s="2"/>
      <c r="D211" s="89">
        <f>D210</f>
        <v>0</v>
      </c>
      <c r="E211" s="22"/>
      <c r="F211" s="9"/>
      <c r="G211" s="41"/>
      <c r="H211" s="50">
        <f>H210</f>
        <v>0</v>
      </c>
      <c r="I211" s="8"/>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row>
    <row r="212" spans="1:114" s="67" customFormat="1" ht="60.75" customHeight="1" thickBot="1">
      <c r="A212" s="163" t="s">
        <v>57</v>
      </c>
      <c r="B212" s="22">
        <f>SUM(B201+B69+B72+B81+B85+B88+B92+B101+B117+B120+B127+B135+B141+B209+B145+B150+B153+B157+B164+B168+B176+B179+B184+B192+B195+B198+B203+B206+B211)</f>
        <v>4169.16</v>
      </c>
      <c r="C212" s="22"/>
      <c r="D212" s="101">
        <f>SUM(D201+D69+D72+D81+D85+D209+D88+D92+D101+D117+D120+D127+D135+D141+D145+D150+D153+D157+D164+D168+D176+D179+D184+D192+D195+D198+D203+D206+D211+D188)</f>
        <v>2256687.82</v>
      </c>
      <c r="E212" s="22">
        <f>SUM(E201+E69+E72+E81+E85+E209+E88+E92+E101+E117+E120+E127+E135+E141+E145+E150+E153+E157+E164+E168+E176+E179+E184+E192+E195+E198+E203+E206+E211)</f>
        <v>0</v>
      </c>
      <c r="F212" s="22">
        <f>SUM(F201+F69+F72+F81+F85+F209+F88+F92+F101+F117+F120+F127+F135+F141+F145+F150+F153+F157+F164+F168+F176+F179+F184+F192+F195+F198+F203+F206+F211)</f>
        <v>0</v>
      </c>
      <c r="G212" s="22">
        <f>SUM(G201+G69+G72+G81+G85+G209+G88+G92+G101+G117+G120+G127+G135+G141+G145+G150+G153+G157+G164+G168+G176+G179+G184+G192+G195+G198+G203+G206+G211)</f>
        <v>0</v>
      </c>
      <c r="H212" s="22">
        <f>SUM(H201+H69+H72+H81+H85+H209+H88+H92+H101+H117+H120+H127+H135+H141+H145+H150+H153+H157+H164+H168+H176+H179+H184+H192+H195+H198+H203+H206+H211)+H188</f>
        <v>0</v>
      </c>
      <c r="I212" s="22">
        <f>SUM(I201+I69+I72+I81+I85+I209+I88+I92+I101+I117+I120+I127+I135+I141+I145+I150+I153+I157+I164+I168+I176+I179+I184+I192+I195+I198+I203+I206+I211)</f>
        <v>0</v>
      </c>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6"/>
      <c r="CZ212" s="66"/>
      <c r="DA212" s="66"/>
      <c r="DB212" s="66"/>
      <c r="DC212" s="66"/>
      <c r="DD212" s="66"/>
      <c r="DE212" s="66"/>
      <c r="DF212" s="66"/>
      <c r="DG212" s="66"/>
      <c r="DH212" s="66"/>
      <c r="DI212" s="66"/>
      <c r="DJ212" s="66"/>
    </row>
    <row r="213" spans="1:114" s="67" customFormat="1" ht="79.5" customHeight="1" thickBot="1">
      <c r="A213" s="153" t="s">
        <v>58</v>
      </c>
      <c r="B213" s="23">
        <f>SUM(B73+B212)</f>
        <v>51939.16</v>
      </c>
      <c r="C213" s="23"/>
      <c r="D213" s="23">
        <f aca="true" t="shared" si="0" ref="D213:I213">SUM(D73+D212)</f>
        <v>2256687.82</v>
      </c>
      <c r="E213" s="23">
        <f t="shared" si="0"/>
        <v>0</v>
      </c>
      <c r="F213" s="23">
        <f t="shared" si="0"/>
        <v>0</v>
      </c>
      <c r="G213" s="23">
        <f t="shared" si="0"/>
        <v>0</v>
      </c>
      <c r="H213" s="23">
        <f t="shared" si="0"/>
        <v>0</v>
      </c>
      <c r="I213" s="23">
        <f t="shared" si="0"/>
        <v>0</v>
      </c>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c r="BI213" s="66"/>
      <c r="BJ213" s="66"/>
      <c r="BK213" s="66"/>
      <c r="BL213" s="66"/>
      <c r="BM213" s="66"/>
      <c r="BN213" s="66"/>
      <c r="BO213" s="66"/>
      <c r="BP213" s="66"/>
      <c r="BQ213" s="66"/>
      <c r="BR213" s="66"/>
      <c r="BS213" s="66"/>
      <c r="BT213" s="66"/>
      <c r="BU213" s="66"/>
      <c r="BV213" s="66"/>
      <c r="BW213" s="66"/>
      <c r="BX213" s="66"/>
      <c r="BY213" s="66"/>
      <c r="BZ213" s="66"/>
      <c r="CA213" s="66"/>
      <c r="CB213" s="66"/>
      <c r="CC213" s="66"/>
      <c r="CD213" s="66"/>
      <c r="CE213" s="66"/>
      <c r="CF213" s="66"/>
      <c r="CG213" s="66"/>
      <c r="CH213" s="66"/>
      <c r="CI213" s="66"/>
      <c r="CJ213" s="66"/>
      <c r="CK213" s="66"/>
      <c r="CL213" s="66"/>
      <c r="CM213" s="66"/>
      <c r="CN213" s="66"/>
      <c r="CO213" s="66"/>
      <c r="CP213" s="66"/>
      <c r="CQ213" s="66"/>
      <c r="CR213" s="66"/>
      <c r="CS213" s="66"/>
      <c r="CT213" s="66"/>
      <c r="CU213" s="66"/>
      <c r="CV213" s="66"/>
      <c r="CW213" s="66"/>
      <c r="CX213" s="66"/>
      <c r="CY213" s="66"/>
      <c r="CZ213" s="66"/>
      <c r="DA213" s="66"/>
      <c r="DB213" s="66"/>
      <c r="DC213" s="66"/>
      <c r="DD213" s="66"/>
      <c r="DE213" s="66"/>
      <c r="DF213" s="66"/>
      <c r="DG213" s="66"/>
      <c r="DH213" s="66"/>
      <c r="DI213" s="66"/>
      <c r="DJ213" s="66"/>
    </row>
    <row r="214" spans="1:114" s="70" customFormat="1" ht="9.75" customHeight="1" hidden="1">
      <c r="A214" s="68"/>
      <c r="B214" s="68"/>
      <c r="C214" s="68"/>
      <c r="D214" s="90"/>
      <c r="E214" s="71"/>
      <c r="F214" s="69"/>
      <c r="G214" s="69"/>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c r="DD214" s="34"/>
      <c r="DE214" s="34"/>
      <c r="DF214" s="34"/>
      <c r="DG214" s="34"/>
      <c r="DH214" s="34"/>
      <c r="DI214" s="34"/>
      <c r="DJ214" s="34"/>
    </row>
    <row r="215" spans="1:114" s="70" customFormat="1" ht="34.5" customHeight="1">
      <c r="A215" s="71" t="s">
        <v>59</v>
      </c>
      <c r="B215" s="71"/>
      <c r="C215" s="71"/>
      <c r="D215" s="90"/>
      <c r="E215" s="71" t="s">
        <v>24</v>
      </c>
      <c r="F215" s="69"/>
      <c r="G215" s="25" t="s">
        <v>61</v>
      </c>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row>
    <row r="216" spans="1:9" ht="20.25" customHeight="1">
      <c r="A216" s="68" t="s">
        <v>25</v>
      </c>
      <c r="B216" s="68"/>
      <c r="C216" s="26"/>
      <c r="D216" s="91"/>
      <c r="E216" s="95"/>
      <c r="F216" s="24"/>
      <c r="G216" s="24" t="s">
        <v>84</v>
      </c>
      <c r="H216" s="13"/>
      <c r="I216" s="13"/>
    </row>
    <row r="217" spans="1:10" ht="26.25" customHeight="1">
      <c r="A217" s="26" t="s">
        <v>62</v>
      </c>
      <c r="B217" s="26"/>
      <c r="C217" s="26"/>
      <c r="D217" s="90"/>
      <c r="E217" s="93"/>
      <c r="F217" s="72"/>
      <c r="G217" s="72"/>
      <c r="H217" s="13"/>
      <c r="I217" s="47"/>
      <c r="J217" s="13" t="s">
        <v>60</v>
      </c>
    </row>
    <row r="218" spans="1:9" ht="20.25" customHeight="1">
      <c r="A218" s="26"/>
      <c r="B218" s="26"/>
      <c r="C218" s="26"/>
      <c r="D218" s="90"/>
      <c r="E218" s="93"/>
      <c r="F218" s="72"/>
      <c r="G218" s="72"/>
      <c r="H218" s="13"/>
      <c r="I218" s="13"/>
    </row>
    <row r="219" spans="1:9" ht="12" customHeight="1">
      <c r="A219" s="27"/>
      <c r="B219" s="27"/>
      <c r="C219" s="27"/>
      <c r="D219" s="92"/>
      <c r="E219" s="27"/>
      <c r="F219" s="13"/>
      <c r="G219" s="13"/>
      <c r="H219" s="13"/>
      <c r="I219" s="13"/>
    </row>
    <row r="220" spans="1:9" ht="15.75">
      <c r="A220" s="27"/>
      <c r="B220" s="27"/>
      <c r="C220" s="27"/>
      <c r="D220" s="92"/>
      <c r="E220" s="27"/>
      <c r="F220" s="13"/>
      <c r="G220" s="13"/>
      <c r="H220" s="13"/>
      <c r="I220" s="13"/>
    </row>
    <row r="221" spans="1:9" ht="15.75">
      <c r="A221" s="27"/>
      <c r="B221" s="27"/>
      <c r="C221" s="27"/>
      <c r="D221" s="92"/>
      <c r="E221" s="27"/>
      <c r="F221" s="13"/>
      <c r="G221" s="13"/>
      <c r="H221" s="13"/>
      <c r="I221" s="13"/>
    </row>
  </sheetData>
  <sheetProtection/>
  <mergeCells count="151">
    <mergeCell ref="G4:I4"/>
    <mergeCell ref="A5:I5"/>
    <mergeCell ref="A6:I6"/>
    <mergeCell ref="A7:I7"/>
    <mergeCell ref="A8:A11"/>
    <mergeCell ref="B8:E8"/>
    <mergeCell ref="F8:I8"/>
    <mergeCell ref="B9:C10"/>
    <mergeCell ref="D9:E10"/>
    <mergeCell ref="F9:G10"/>
    <mergeCell ref="H9:I10"/>
    <mergeCell ref="A12:A13"/>
    <mergeCell ref="B12:B13"/>
    <mergeCell ref="C12:C13"/>
    <mergeCell ref="A15:A16"/>
    <mergeCell ref="B15:B16"/>
    <mergeCell ref="C15:C16"/>
    <mergeCell ref="A18:A20"/>
    <mergeCell ref="B18:B19"/>
    <mergeCell ref="A21:A22"/>
    <mergeCell ref="B21:B22"/>
    <mergeCell ref="A24:A25"/>
    <mergeCell ref="B24:B25"/>
    <mergeCell ref="A27:A29"/>
    <mergeCell ref="B27:B29"/>
    <mergeCell ref="F27:F28"/>
    <mergeCell ref="G27:G28"/>
    <mergeCell ref="H27:H28"/>
    <mergeCell ref="I27:I28"/>
    <mergeCell ref="A31:A32"/>
    <mergeCell ref="B31:B32"/>
    <mergeCell ref="A34:A36"/>
    <mergeCell ref="B34:B36"/>
    <mergeCell ref="C35:C36"/>
    <mergeCell ref="A38:A40"/>
    <mergeCell ref="B38:B40"/>
    <mergeCell ref="A42:A43"/>
    <mergeCell ref="B42:B43"/>
    <mergeCell ref="C42:C43"/>
    <mergeCell ref="A45:A46"/>
    <mergeCell ref="B45:B46"/>
    <mergeCell ref="A48:A50"/>
    <mergeCell ref="B48:B50"/>
    <mergeCell ref="C49:C50"/>
    <mergeCell ref="A52:A53"/>
    <mergeCell ref="B52:B53"/>
    <mergeCell ref="C52:C53"/>
    <mergeCell ref="A55:A56"/>
    <mergeCell ref="B55:B56"/>
    <mergeCell ref="A58:A59"/>
    <mergeCell ref="B58:B59"/>
    <mergeCell ref="A61:A62"/>
    <mergeCell ref="B61:B62"/>
    <mergeCell ref="C61:C62"/>
    <mergeCell ref="A64:A65"/>
    <mergeCell ref="B64:B65"/>
    <mergeCell ref="A67:A68"/>
    <mergeCell ref="B67:B68"/>
    <mergeCell ref="A70:A71"/>
    <mergeCell ref="B70:B71"/>
    <mergeCell ref="A74:A80"/>
    <mergeCell ref="B74:B80"/>
    <mergeCell ref="A82:A84"/>
    <mergeCell ref="B82:B84"/>
    <mergeCell ref="C82:C84"/>
    <mergeCell ref="F82:F84"/>
    <mergeCell ref="G82:G84"/>
    <mergeCell ref="A86:A87"/>
    <mergeCell ref="B86:B87"/>
    <mergeCell ref="F86:F87"/>
    <mergeCell ref="G86:G87"/>
    <mergeCell ref="A89:A91"/>
    <mergeCell ref="B89:B91"/>
    <mergeCell ref="F89:F91"/>
    <mergeCell ref="G89:G91"/>
    <mergeCell ref="A93:A100"/>
    <mergeCell ref="B93:B100"/>
    <mergeCell ref="F96:F100"/>
    <mergeCell ref="G96:G100"/>
    <mergeCell ref="A112:A116"/>
    <mergeCell ref="B112:B116"/>
    <mergeCell ref="F115:F116"/>
    <mergeCell ref="G115:G116"/>
    <mergeCell ref="A118:A119"/>
    <mergeCell ref="B118:B119"/>
    <mergeCell ref="F118:F119"/>
    <mergeCell ref="G118:G119"/>
    <mergeCell ref="A121:A126"/>
    <mergeCell ref="B121:B126"/>
    <mergeCell ref="F121:F126"/>
    <mergeCell ref="G121:G126"/>
    <mergeCell ref="A128:A134"/>
    <mergeCell ref="B128:B134"/>
    <mergeCell ref="F128:F134"/>
    <mergeCell ref="G128:G134"/>
    <mergeCell ref="A136:A140"/>
    <mergeCell ref="B136:B140"/>
    <mergeCell ref="F136:F140"/>
    <mergeCell ref="G136:G140"/>
    <mergeCell ref="A142:A144"/>
    <mergeCell ref="B142:B144"/>
    <mergeCell ref="F142:F144"/>
    <mergeCell ref="G142:G144"/>
    <mergeCell ref="A146:A149"/>
    <mergeCell ref="B146:B149"/>
    <mergeCell ref="F147:F149"/>
    <mergeCell ref="G147:G149"/>
    <mergeCell ref="A151:A152"/>
    <mergeCell ref="B151:B152"/>
    <mergeCell ref="F151:F152"/>
    <mergeCell ref="G151:G152"/>
    <mergeCell ref="A154:A156"/>
    <mergeCell ref="B154:B156"/>
    <mergeCell ref="F154:F156"/>
    <mergeCell ref="G154:G156"/>
    <mergeCell ref="A158:A163"/>
    <mergeCell ref="B158:B163"/>
    <mergeCell ref="F161:F163"/>
    <mergeCell ref="G161:G163"/>
    <mergeCell ref="A165:A167"/>
    <mergeCell ref="B165:B167"/>
    <mergeCell ref="C165:C166"/>
    <mergeCell ref="F165:F167"/>
    <mergeCell ref="G165:G167"/>
    <mergeCell ref="A169:A175"/>
    <mergeCell ref="B169:B175"/>
    <mergeCell ref="F171:F175"/>
    <mergeCell ref="G171:G175"/>
    <mergeCell ref="A177:A178"/>
    <mergeCell ref="B177:B178"/>
    <mergeCell ref="F177:F178"/>
    <mergeCell ref="G177:G178"/>
    <mergeCell ref="A180:A183"/>
    <mergeCell ref="B180:B183"/>
    <mergeCell ref="F180:F183"/>
    <mergeCell ref="G180:G183"/>
    <mergeCell ref="A185:A187"/>
    <mergeCell ref="B185:B187"/>
    <mergeCell ref="A189:A191"/>
    <mergeCell ref="B189:B191"/>
    <mergeCell ref="A193:A194"/>
    <mergeCell ref="B193:B194"/>
    <mergeCell ref="C207:C209"/>
    <mergeCell ref="A196:A197"/>
    <mergeCell ref="B196:B197"/>
    <mergeCell ref="A199:A200"/>
    <mergeCell ref="B199:B200"/>
    <mergeCell ref="A207:A208"/>
    <mergeCell ref="B207:B208"/>
    <mergeCell ref="A204:A205"/>
    <mergeCell ref="B204:B205"/>
  </mergeCells>
  <printOptions/>
  <pageMargins left="0.5118110236220472" right="0.31496062992125984" top="0.35433070866141736" bottom="0.35433070866141736" header="0.31496062992125984" footer="0.31496062992125984"/>
  <pageSetup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dimension ref="A1:DJ263"/>
  <sheetViews>
    <sheetView zoomScalePageLayoutView="0" workbookViewId="0" topLeftCell="A11">
      <pane xSplit="1" ySplit="1" topLeftCell="B252" activePane="bottomRight" state="frozen"/>
      <selection pane="topLeft" activeCell="A11" sqref="A11"/>
      <selection pane="topRight" activeCell="B11" sqref="B11"/>
      <selection pane="bottomLeft" activeCell="A12" sqref="A12"/>
      <selection pane="bottomRight" activeCell="A8" sqref="A1:IV16384"/>
    </sheetView>
  </sheetViews>
  <sheetFormatPr defaultColWidth="25.7109375" defaultRowHeight="15"/>
  <cols>
    <col min="1" max="1" width="14.28125" style="28" customWidth="1"/>
    <col min="2" max="2" width="11.8515625" style="28" customWidth="1"/>
    <col min="3" max="3" width="39.00390625" style="28" customWidth="1"/>
    <col min="4" max="4" width="14.57421875" style="73" customWidth="1"/>
    <col min="5" max="5" width="19.140625" style="28" customWidth="1"/>
    <col min="6" max="6" width="7.421875" style="1" customWidth="1"/>
    <col min="7" max="7" width="7.28125" style="1" customWidth="1"/>
    <col min="8" max="8" width="9.28125" style="1" customWidth="1"/>
    <col min="9" max="9" width="9.140625" style="1" customWidth="1"/>
    <col min="10" max="114" width="25.7109375" style="13" customWidth="1"/>
    <col min="115" max="16384" width="25.7109375" style="1" customWidth="1"/>
  </cols>
  <sheetData>
    <row r="1" spans="3:9" ht="18" customHeight="1">
      <c r="C1" s="28" t="s">
        <v>24</v>
      </c>
      <c r="F1" s="29" t="s">
        <v>49</v>
      </c>
      <c r="I1" s="29"/>
    </row>
    <row r="2" spans="6:9" ht="18" customHeight="1">
      <c r="F2" s="29" t="s">
        <v>45</v>
      </c>
      <c r="I2" s="29"/>
    </row>
    <row r="3" spans="6:9" ht="16.5" customHeight="1">
      <c r="F3" s="29" t="s">
        <v>46</v>
      </c>
      <c r="I3" s="29"/>
    </row>
    <row r="4" spans="7:9" ht="15.75">
      <c r="G4" s="297"/>
      <c r="H4" s="297"/>
      <c r="I4" s="297"/>
    </row>
    <row r="5" spans="1:9" ht="15.75">
      <c r="A5" s="298" t="s">
        <v>19</v>
      </c>
      <c r="B5" s="298"/>
      <c r="C5" s="298"/>
      <c r="D5" s="298"/>
      <c r="E5" s="298"/>
      <c r="F5" s="298"/>
      <c r="G5" s="298"/>
      <c r="H5" s="298"/>
      <c r="I5" s="298"/>
    </row>
    <row r="6" spans="1:9" ht="15.75">
      <c r="A6" s="298" t="s">
        <v>268</v>
      </c>
      <c r="B6" s="298"/>
      <c r="C6" s="298"/>
      <c r="D6" s="298"/>
      <c r="E6" s="298"/>
      <c r="F6" s="298"/>
      <c r="G6" s="298"/>
      <c r="H6" s="298"/>
      <c r="I6" s="298"/>
    </row>
    <row r="7" spans="1:9" ht="26.25" customHeight="1">
      <c r="A7" s="298" t="s">
        <v>20</v>
      </c>
      <c r="B7" s="298"/>
      <c r="C7" s="298"/>
      <c r="D7" s="298"/>
      <c r="E7" s="298"/>
      <c r="F7" s="298"/>
      <c r="G7" s="298"/>
      <c r="H7" s="298"/>
      <c r="I7" s="298"/>
    </row>
    <row r="8" spans="1:10" ht="30" customHeight="1">
      <c r="A8" s="299" t="s">
        <v>21</v>
      </c>
      <c r="B8" s="294" t="s">
        <v>0</v>
      </c>
      <c r="C8" s="294"/>
      <c r="D8" s="294"/>
      <c r="E8" s="294"/>
      <c r="F8" s="294" t="s">
        <v>1</v>
      </c>
      <c r="G8" s="294"/>
      <c r="H8" s="294"/>
      <c r="I8" s="294"/>
      <c r="J8" s="36"/>
    </row>
    <row r="9" spans="1:10" ht="13.5" customHeight="1">
      <c r="A9" s="299"/>
      <c r="B9" s="299" t="s">
        <v>2</v>
      </c>
      <c r="C9" s="299"/>
      <c r="D9" s="299" t="s">
        <v>18</v>
      </c>
      <c r="E9" s="299"/>
      <c r="F9" s="294" t="s">
        <v>2</v>
      </c>
      <c r="G9" s="294"/>
      <c r="H9" s="294" t="s">
        <v>3</v>
      </c>
      <c r="I9" s="295"/>
      <c r="J9" s="36"/>
    </row>
    <row r="10" spans="1:10" ht="22.5" customHeight="1">
      <c r="A10" s="299"/>
      <c r="B10" s="299"/>
      <c r="C10" s="299"/>
      <c r="D10" s="299"/>
      <c r="E10" s="299"/>
      <c r="F10" s="294"/>
      <c r="G10" s="294"/>
      <c r="H10" s="295"/>
      <c r="I10" s="295"/>
      <c r="J10" s="36"/>
    </row>
    <row r="11" spans="1:10" ht="51" customHeight="1">
      <c r="A11" s="299"/>
      <c r="B11" s="16" t="s">
        <v>17</v>
      </c>
      <c r="C11" s="16" t="s">
        <v>4</v>
      </c>
      <c r="D11" s="16" t="s">
        <v>17</v>
      </c>
      <c r="E11" s="16" t="s">
        <v>256</v>
      </c>
      <c r="F11" s="14" t="s">
        <v>17</v>
      </c>
      <c r="G11" s="14" t="s">
        <v>4</v>
      </c>
      <c r="H11" s="14" t="s">
        <v>17</v>
      </c>
      <c r="I11" s="14" t="s">
        <v>6</v>
      </c>
      <c r="J11" s="36"/>
    </row>
    <row r="12" spans="1:10" ht="80.25" customHeight="1">
      <c r="A12" s="277" t="s">
        <v>63</v>
      </c>
      <c r="B12" s="296"/>
      <c r="C12" s="152" t="s">
        <v>201</v>
      </c>
      <c r="D12" s="59">
        <v>60991.75</v>
      </c>
      <c r="E12" s="105" t="s">
        <v>87</v>
      </c>
      <c r="F12" s="37"/>
      <c r="G12" s="32"/>
      <c r="H12" s="38"/>
      <c r="I12" s="15"/>
      <c r="J12" s="36"/>
    </row>
    <row r="13" spans="1:10" ht="36" customHeight="1">
      <c r="A13" s="277"/>
      <c r="B13" s="296"/>
      <c r="C13" s="116" t="s">
        <v>203</v>
      </c>
      <c r="D13" s="59">
        <v>18</v>
      </c>
      <c r="E13" s="105" t="s">
        <v>202</v>
      </c>
      <c r="F13" s="37"/>
      <c r="G13" s="32"/>
      <c r="H13" s="38"/>
      <c r="I13" s="15"/>
      <c r="J13" s="36"/>
    </row>
    <row r="14" spans="1:10" ht="38.25" customHeight="1">
      <c r="A14" s="277"/>
      <c r="B14" s="296"/>
      <c r="C14" s="149" t="s">
        <v>176</v>
      </c>
      <c r="D14" s="60">
        <f>1460+3740+384</f>
        <v>5584</v>
      </c>
      <c r="E14" s="105" t="s">
        <v>175</v>
      </c>
      <c r="F14" s="37"/>
      <c r="G14" s="32"/>
      <c r="H14" s="38"/>
      <c r="I14" s="30"/>
      <c r="J14" s="36"/>
    </row>
    <row r="15" spans="1:114" s="46" customFormat="1" ht="20.25" customHeight="1">
      <c r="A15" s="153" t="s">
        <v>14</v>
      </c>
      <c r="B15" s="39">
        <f>SUM(B12:B14)</f>
        <v>0</v>
      </c>
      <c r="C15" s="2"/>
      <c r="D15" s="79">
        <f>SUM(D12:D14)</f>
        <v>66593.75</v>
      </c>
      <c r="E15" s="76"/>
      <c r="F15" s="40"/>
      <c r="G15" s="41"/>
      <c r="H15" s="42">
        <f>SUM(H12:H14)</f>
        <v>0</v>
      </c>
      <c r="I15" s="31"/>
      <c r="J15" s="43"/>
      <c r="K15" s="44"/>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row>
    <row r="16" spans="1:11" ht="111" customHeight="1">
      <c r="A16" s="277" t="s">
        <v>64</v>
      </c>
      <c r="B16" s="278">
        <v>10924</v>
      </c>
      <c r="C16" s="152" t="s">
        <v>255</v>
      </c>
      <c r="D16" s="60">
        <f>65451.19+5971.8</f>
        <v>71422.99</v>
      </c>
      <c r="E16" s="105" t="s">
        <v>87</v>
      </c>
      <c r="F16" s="37"/>
      <c r="G16" s="32"/>
      <c r="H16" s="30"/>
      <c r="I16" s="15"/>
      <c r="J16" s="36"/>
      <c r="K16" s="47"/>
    </row>
    <row r="17" spans="1:11" ht="49.5" customHeight="1">
      <c r="A17" s="277"/>
      <c r="B17" s="279"/>
      <c r="C17" s="116" t="s">
        <v>177</v>
      </c>
      <c r="D17" s="60"/>
      <c r="E17" s="105"/>
      <c r="F17" s="37"/>
      <c r="G17" s="32"/>
      <c r="H17" s="30"/>
      <c r="I17" s="15"/>
      <c r="J17" s="36"/>
      <c r="K17" s="47"/>
    </row>
    <row r="18" spans="1:11" ht="35.25" customHeight="1">
      <c r="A18" s="277"/>
      <c r="B18" s="279"/>
      <c r="C18" s="116" t="s">
        <v>203</v>
      </c>
      <c r="D18" s="59">
        <v>18</v>
      </c>
      <c r="E18" s="105" t="s">
        <v>202</v>
      </c>
      <c r="F18" s="37"/>
      <c r="G18" s="32"/>
      <c r="H18" s="30"/>
      <c r="I18" s="15"/>
      <c r="J18" s="36"/>
      <c r="K18" s="47"/>
    </row>
    <row r="19" spans="1:11" ht="37.5" customHeight="1">
      <c r="A19" s="277"/>
      <c r="B19" s="280"/>
      <c r="C19" s="149" t="s">
        <v>176</v>
      </c>
      <c r="D19" s="60">
        <f>1733.75+4080+432</f>
        <v>6245.75</v>
      </c>
      <c r="E19" s="105" t="s">
        <v>175</v>
      </c>
      <c r="F19" s="37"/>
      <c r="G19" s="32"/>
      <c r="H19" s="30"/>
      <c r="I19" s="30"/>
      <c r="J19" s="36"/>
      <c r="K19" s="47"/>
    </row>
    <row r="20" spans="1:114" s="46" customFormat="1" ht="22.5" customHeight="1">
      <c r="A20" s="153" t="s">
        <v>14</v>
      </c>
      <c r="B20" s="39">
        <f>SUM(B16)</f>
        <v>10924</v>
      </c>
      <c r="C20" s="152"/>
      <c r="D20" s="64">
        <f>SUM(D16:D19)</f>
        <v>77686.74</v>
      </c>
      <c r="E20" s="76"/>
      <c r="F20" s="40"/>
      <c r="G20" s="41"/>
      <c r="H20" s="31">
        <f>SUM(H16:H19)</f>
        <v>0</v>
      </c>
      <c r="I20" s="31"/>
      <c r="J20" s="43"/>
      <c r="K20" s="4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row>
    <row r="21" spans="1:114" s="46" customFormat="1" ht="31.5" customHeight="1">
      <c r="A21" s="277" t="s">
        <v>65</v>
      </c>
      <c r="B21" s="278"/>
      <c r="C21" s="152" t="s">
        <v>197</v>
      </c>
      <c r="D21" s="16">
        <v>33070.22</v>
      </c>
      <c r="E21" s="105" t="s">
        <v>206</v>
      </c>
      <c r="F21" s="40"/>
      <c r="G21" s="41"/>
      <c r="H21" s="30"/>
      <c r="I21" s="15"/>
      <c r="J21" s="43"/>
      <c r="K21" s="44"/>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row>
    <row r="22" spans="1:114" s="46" customFormat="1" ht="49.5" customHeight="1">
      <c r="A22" s="277"/>
      <c r="B22" s="279"/>
      <c r="C22" s="116" t="s">
        <v>263</v>
      </c>
      <c r="D22" s="60">
        <f>9468.3+50998.33</f>
        <v>60466.630000000005</v>
      </c>
      <c r="E22" s="105" t="s">
        <v>87</v>
      </c>
      <c r="F22" s="40"/>
      <c r="G22" s="41"/>
      <c r="H22" s="30"/>
      <c r="I22" s="15"/>
      <c r="J22" s="43"/>
      <c r="K22" s="44"/>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row>
    <row r="23" spans="1:114" s="46" customFormat="1" ht="43.5" customHeight="1">
      <c r="A23" s="277"/>
      <c r="B23" s="279"/>
      <c r="C23" s="116" t="s">
        <v>266</v>
      </c>
      <c r="D23" s="60">
        <v>2160.6</v>
      </c>
      <c r="E23" s="105" t="s">
        <v>175</v>
      </c>
      <c r="F23" s="40"/>
      <c r="G23" s="41"/>
      <c r="H23" s="30"/>
      <c r="I23" s="15"/>
      <c r="J23" s="43"/>
      <c r="K23" s="44"/>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row>
    <row r="24" spans="1:114" s="46" customFormat="1" ht="31.5" customHeight="1">
      <c r="A24" s="277"/>
      <c r="B24" s="280"/>
      <c r="C24" s="116" t="s">
        <v>203</v>
      </c>
      <c r="D24" s="59">
        <v>18</v>
      </c>
      <c r="E24" s="105" t="s">
        <v>202</v>
      </c>
      <c r="F24" s="40"/>
      <c r="G24" s="41"/>
      <c r="H24" s="30"/>
      <c r="I24" s="15"/>
      <c r="J24" s="43"/>
      <c r="K24" s="44"/>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row>
    <row r="25" spans="1:114" s="46" customFormat="1" ht="20.25" customHeight="1">
      <c r="A25" s="277"/>
      <c r="B25" s="39">
        <f>SUM(B21)</f>
        <v>0</v>
      </c>
      <c r="C25" s="116"/>
      <c r="D25" s="77">
        <f>SUM(D21:D24)</f>
        <v>95715.45000000001</v>
      </c>
      <c r="E25" s="76"/>
      <c r="F25" s="48">
        <f>F21</f>
        <v>0</v>
      </c>
      <c r="G25" s="41"/>
      <c r="H25" s="31">
        <f>SUM(H21:H21)</f>
        <v>0</v>
      </c>
      <c r="I25" s="31"/>
      <c r="J25" s="43"/>
      <c r="K25" s="44"/>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row>
    <row r="26" spans="1:11" ht="28.5" customHeight="1">
      <c r="A26" s="254" t="s">
        <v>66</v>
      </c>
      <c r="B26" s="278">
        <v>1400</v>
      </c>
      <c r="C26" s="156" t="s">
        <v>208</v>
      </c>
      <c r="D26" s="60">
        <v>24.3</v>
      </c>
      <c r="E26" s="105" t="s">
        <v>87</v>
      </c>
      <c r="F26" s="37"/>
      <c r="G26" s="32"/>
      <c r="H26" s="30"/>
      <c r="I26" s="15"/>
      <c r="J26" s="36"/>
      <c r="K26" s="47"/>
    </row>
    <row r="27" spans="1:11" ht="29.25" customHeight="1">
      <c r="A27" s="255"/>
      <c r="B27" s="280"/>
      <c r="C27" s="175" t="s">
        <v>243</v>
      </c>
      <c r="D27" s="143"/>
      <c r="E27" s="122"/>
      <c r="F27" s="37"/>
      <c r="G27" s="32"/>
      <c r="H27" s="30"/>
      <c r="I27" s="30"/>
      <c r="J27" s="36"/>
      <c r="K27" s="47"/>
    </row>
    <row r="28" spans="1:114" s="46" customFormat="1" ht="25.5" customHeight="1">
      <c r="A28" s="153" t="s">
        <v>15</v>
      </c>
      <c r="B28" s="39">
        <f>B26</f>
        <v>1400</v>
      </c>
      <c r="C28" s="2"/>
      <c r="D28" s="79">
        <f>D27+D26</f>
        <v>24.3</v>
      </c>
      <c r="E28" s="80"/>
      <c r="F28" s="40"/>
      <c r="G28" s="41"/>
      <c r="H28" s="31">
        <f>SUM(H26:H27)</f>
        <v>0</v>
      </c>
      <c r="I28" s="31"/>
      <c r="J28" s="43"/>
      <c r="K28" s="4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row>
    <row r="29" spans="1:114" s="46" customFormat="1" ht="96.75" customHeight="1">
      <c r="A29" s="254" t="s">
        <v>67</v>
      </c>
      <c r="B29" s="278"/>
      <c r="C29" s="152" t="s">
        <v>204</v>
      </c>
      <c r="D29" s="59">
        <v>70702.76</v>
      </c>
      <c r="E29" s="105" t="s">
        <v>87</v>
      </c>
      <c r="F29" s="40"/>
      <c r="G29" s="41"/>
      <c r="H29" s="30"/>
      <c r="I29" s="15"/>
      <c r="J29" s="43"/>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row>
    <row r="30" spans="1:114" s="46" customFormat="1" ht="33" customHeight="1">
      <c r="A30" s="260"/>
      <c r="B30" s="279"/>
      <c r="C30" s="116" t="s">
        <v>203</v>
      </c>
      <c r="D30" s="59">
        <v>18</v>
      </c>
      <c r="E30" s="105" t="s">
        <v>202</v>
      </c>
      <c r="F30" s="40"/>
      <c r="G30" s="41"/>
      <c r="H30" s="30"/>
      <c r="I30" s="15"/>
      <c r="J30" s="43"/>
      <c r="K30" s="44"/>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row>
    <row r="31" spans="1:11" ht="38.25" customHeight="1">
      <c r="A31" s="255"/>
      <c r="B31" s="280"/>
      <c r="C31" s="149" t="s">
        <v>176</v>
      </c>
      <c r="D31" s="60">
        <f>1898+3740+432</f>
        <v>6070</v>
      </c>
      <c r="E31" s="105" t="s">
        <v>175</v>
      </c>
      <c r="F31" s="37"/>
      <c r="G31" s="32"/>
      <c r="H31" s="38"/>
      <c r="I31" s="32"/>
      <c r="J31" s="36"/>
      <c r="K31" s="47"/>
    </row>
    <row r="32" spans="1:114" s="46" customFormat="1" ht="19.5" customHeight="1">
      <c r="A32" s="153" t="s">
        <v>15</v>
      </c>
      <c r="B32" s="39">
        <f>B29</f>
        <v>0</v>
      </c>
      <c r="C32" s="152"/>
      <c r="D32" s="79">
        <f>SUM(D29:D31)</f>
        <v>76790.76</v>
      </c>
      <c r="E32" s="80"/>
      <c r="F32" s="40"/>
      <c r="G32" s="41"/>
      <c r="H32" s="42">
        <f>SUM(H29:H31)</f>
        <v>0</v>
      </c>
      <c r="I32" s="31"/>
      <c r="J32" s="43"/>
      <c r="K32" s="44"/>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row>
    <row r="33" spans="1:114" s="46" customFormat="1" ht="80.25" customHeight="1">
      <c r="A33" s="254" t="s">
        <v>68</v>
      </c>
      <c r="B33" s="278"/>
      <c r="C33" s="173" t="s">
        <v>204</v>
      </c>
      <c r="D33" s="59">
        <v>85389.43</v>
      </c>
      <c r="E33" s="105" t="s">
        <v>87</v>
      </c>
      <c r="F33" s="292"/>
      <c r="G33" s="293"/>
      <c r="H33" s="294"/>
      <c r="I33" s="294"/>
      <c r="J33" s="43"/>
      <c r="K33" s="4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row>
    <row r="34" spans="1:114" s="46" customFormat="1" ht="65.25" customHeight="1">
      <c r="A34" s="260"/>
      <c r="B34" s="279"/>
      <c r="C34" s="149" t="s">
        <v>267</v>
      </c>
      <c r="D34" s="60">
        <f>1952.75+5100+432+2160.6</f>
        <v>9645.35</v>
      </c>
      <c r="E34" s="105" t="s">
        <v>175</v>
      </c>
      <c r="F34" s="292"/>
      <c r="G34" s="293"/>
      <c r="H34" s="294"/>
      <c r="I34" s="294"/>
      <c r="J34" s="43"/>
      <c r="K34" s="4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row>
    <row r="35" spans="1:114" s="46" customFormat="1" ht="29.25" customHeight="1">
      <c r="A35" s="255"/>
      <c r="B35" s="280"/>
      <c r="C35" s="116" t="s">
        <v>203</v>
      </c>
      <c r="D35" s="59">
        <v>20</v>
      </c>
      <c r="E35" s="105" t="s">
        <v>202</v>
      </c>
      <c r="F35" s="6"/>
      <c r="G35" s="41"/>
      <c r="H35" s="33"/>
      <c r="I35" s="33"/>
      <c r="J35" s="43"/>
      <c r="K35" s="44"/>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row>
    <row r="36" spans="1:114" s="46" customFormat="1" ht="22.5" customHeight="1">
      <c r="A36" s="153" t="s">
        <v>15</v>
      </c>
      <c r="B36" s="39">
        <f>SUM(B33:B34)</f>
        <v>0</v>
      </c>
      <c r="C36" s="159"/>
      <c r="D36" s="79">
        <f>SUM(D33:D35)</f>
        <v>95054.78</v>
      </c>
      <c r="E36" s="80"/>
      <c r="F36" s="50"/>
      <c r="G36" s="41"/>
      <c r="H36" s="33">
        <f>SUM(H33:H35)</f>
        <v>0</v>
      </c>
      <c r="I36" s="33"/>
      <c r="J36" s="43"/>
      <c r="K36" s="44"/>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row>
    <row r="37" spans="1:11" ht="27.75" customHeight="1">
      <c r="A37" s="254" t="s">
        <v>69</v>
      </c>
      <c r="B37" s="278">
        <v>121.6</v>
      </c>
      <c r="C37" s="116" t="s">
        <v>203</v>
      </c>
      <c r="D37" s="59">
        <v>18</v>
      </c>
      <c r="E37" s="105" t="s">
        <v>202</v>
      </c>
      <c r="F37" s="6"/>
      <c r="G37" s="32"/>
      <c r="H37" s="14"/>
      <c r="I37" s="14"/>
      <c r="J37" s="36"/>
      <c r="K37" s="47"/>
    </row>
    <row r="38" spans="1:11" ht="21" customHeight="1">
      <c r="A38" s="260"/>
      <c r="B38" s="279"/>
      <c r="C38" s="116" t="s">
        <v>289</v>
      </c>
      <c r="D38" s="59"/>
      <c r="E38" s="105"/>
      <c r="F38" s="6"/>
      <c r="G38" s="32"/>
      <c r="H38" s="14"/>
      <c r="I38" s="14"/>
      <c r="J38" s="36"/>
      <c r="K38" s="47"/>
    </row>
    <row r="39" spans="1:11" ht="27.75" customHeight="1">
      <c r="A39" s="255"/>
      <c r="B39" s="280"/>
      <c r="C39" s="116" t="s">
        <v>208</v>
      </c>
      <c r="D39" s="60">
        <v>24.3</v>
      </c>
      <c r="E39" s="105" t="s">
        <v>87</v>
      </c>
      <c r="F39" s="6"/>
      <c r="G39" s="32"/>
      <c r="H39" s="14"/>
      <c r="I39" s="14"/>
      <c r="J39" s="36"/>
      <c r="K39" s="47"/>
    </row>
    <row r="40" spans="1:114" s="46" customFormat="1" ht="24" customHeight="1">
      <c r="A40" s="160" t="s">
        <v>15</v>
      </c>
      <c r="B40" s="39">
        <f>SUM(B37)</f>
        <v>121.6</v>
      </c>
      <c r="C40" s="159"/>
      <c r="D40" s="23">
        <f>SUM(D37:D39)</f>
        <v>42.3</v>
      </c>
      <c r="E40" s="139"/>
      <c r="F40" s="10"/>
      <c r="G40" s="41"/>
      <c r="H40" s="33">
        <f>SUM(H37:H39)</f>
        <v>0</v>
      </c>
      <c r="I40" s="33"/>
      <c r="J40" s="43"/>
      <c r="K40" s="44"/>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row>
    <row r="41" spans="1:114" s="46" customFormat="1" ht="48.75" customHeight="1">
      <c r="A41" s="254" t="s">
        <v>70</v>
      </c>
      <c r="B41" s="278"/>
      <c r="C41" s="152" t="s">
        <v>209</v>
      </c>
      <c r="D41" s="60">
        <v>55744.63</v>
      </c>
      <c r="E41" s="105" t="s">
        <v>87</v>
      </c>
      <c r="F41" s="10"/>
      <c r="G41" s="41"/>
      <c r="H41" s="33"/>
      <c r="I41" s="33"/>
      <c r="J41" s="43"/>
      <c r="K41" s="44"/>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row>
    <row r="42" spans="1:10" ht="29.25" customHeight="1">
      <c r="A42" s="255"/>
      <c r="B42" s="280"/>
      <c r="C42" s="116" t="s">
        <v>203</v>
      </c>
      <c r="D42" s="59">
        <v>18</v>
      </c>
      <c r="E42" s="105" t="s">
        <v>202</v>
      </c>
      <c r="F42" s="51"/>
      <c r="G42" s="32"/>
      <c r="H42" s="14"/>
      <c r="I42" s="14"/>
      <c r="J42" s="36"/>
    </row>
    <row r="43" spans="1:114" s="46" customFormat="1" ht="27.75" customHeight="1">
      <c r="A43" s="153" t="s">
        <v>15</v>
      </c>
      <c r="B43" s="39">
        <f>SUM(B41:B42)</f>
        <v>0</v>
      </c>
      <c r="C43" s="2"/>
      <c r="D43" s="23">
        <f>SUM(D41:D42)</f>
        <v>55762.63</v>
      </c>
      <c r="E43" s="82"/>
      <c r="F43" s="50"/>
      <c r="G43" s="41"/>
      <c r="H43" s="33">
        <f>SUM(H42:H42)</f>
        <v>0</v>
      </c>
      <c r="I43" s="33"/>
      <c r="J43" s="43"/>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row>
    <row r="44" spans="1:10" ht="81" customHeight="1">
      <c r="A44" s="254" t="s">
        <v>71</v>
      </c>
      <c r="B44" s="278">
        <v>1118</v>
      </c>
      <c r="C44" s="173" t="s">
        <v>204</v>
      </c>
      <c r="D44" s="60">
        <f>80671.88</f>
        <v>80671.88</v>
      </c>
      <c r="E44" s="125" t="s">
        <v>87</v>
      </c>
      <c r="F44" s="51"/>
      <c r="G44" s="32"/>
      <c r="H44" s="14"/>
      <c r="I44" s="14"/>
      <c r="J44" s="36"/>
    </row>
    <row r="45" spans="1:10" ht="29.25" customHeight="1">
      <c r="A45" s="260"/>
      <c r="B45" s="279"/>
      <c r="C45" s="116" t="s">
        <v>203</v>
      </c>
      <c r="D45" s="59">
        <v>18</v>
      </c>
      <c r="E45" s="105" t="s">
        <v>202</v>
      </c>
      <c r="F45" s="51"/>
      <c r="G45" s="32"/>
      <c r="H45" s="14"/>
      <c r="I45" s="14"/>
      <c r="J45" s="36"/>
    </row>
    <row r="46" spans="1:10" ht="29.25" customHeight="1">
      <c r="A46" s="260"/>
      <c r="B46" s="279"/>
      <c r="C46" s="116" t="s">
        <v>29</v>
      </c>
      <c r="D46" s="59"/>
      <c r="E46" s="105"/>
      <c r="F46" s="51"/>
      <c r="G46" s="32"/>
      <c r="H46" s="14"/>
      <c r="I46" s="14"/>
      <c r="J46" s="36"/>
    </row>
    <row r="47" spans="1:10" ht="41.25" customHeight="1">
      <c r="A47" s="255"/>
      <c r="B47" s="280"/>
      <c r="C47" s="149" t="s">
        <v>176</v>
      </c>
      <c r="D47" s="60">
        <f>1952.75+5100+432</f>
        <v>7484.75</v>
      </c>
      <c r="E47" s="105" t="s">
        <v>175</v>
      </c>
      <c r="F47" s="51"/>
      <c r="G47" s="32"/>
      <c r="H47" s="14"/>
      <c r="I47" s="14"/>
      <c r="J47" s="36"/>
    </row>
    <row r="48" spans="1:114" s="46" customFormat="1" ht="27" customHeight="1">
      <c r="A48" s="153" t="s">
        <v>15</v>
      </c>
      <c r="B48" s="39">
        <f>SUM(B44:B45)</f>
        <v>1118</v>
      </c>
      <c r="C48" s="116"/>
      <c r="D48" s="23">
        <f>SUM(D44:D47)</f>
        <v>88174.63</v>
      </c>
      <c r="E48" s="82"/>
      <c r="F48" s="50"/>
      <c r="G48" s="41"/>
      <c r="H48" s="33">
        <f>H44</f>
        <v>0</v>
      </c>
      <c r="I48" s="33"/>
      <c r="J48" s="43"/>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row>
    <row r="49" spans="1:114" s="46" customFormat="1" ht="30" customHeight="1">
      <c r="A49" s="254" t="s">
        <v>7</v>
      </c>
      <c r="B49" s="278"/>
      <c r="C49" s="152" t="s">
        <v>210</v>
      </c>
      <c r="D49" s="60">
        <v>4746.3</v>
      </c>
      <c r="E49" s="105" t="s">
        <v>87</v>
      </c>
      <c r="F49" s="50"/>
      <c r="G49" s="41"/>
      <c r="H49" s="14"/>
      <c r="I49" s="14"/>
      <c r="J49" s="43"/>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row>
    <row r="50" spans="1:10" ht="18" customHeight="1">
      <c r="A50" s="255"/>
      <c r="B50" s="280"/>
      <c r="C50" s="152"/>
      <c r="D50" s="60"/>
      <c r="E50" s="105"/>
      <c r="F50" s="6"/>
      <c r="G50" s="32"/>
      <c r="H50" s="14"/>
      <c r="I50" s="14"/>
      <c r="J50" s="36"/>
    </row>
    <row r="51" spans="1:114" s="46" customFormat="1" ht="23.25" customHeight="1">
      <c r="A51" s="153" t="s">
        <v>15</v>
      </c>
      <c r="B51" s="39">
        <f>SUM(B49)</f>
        <v>0</v>
      </c>
      <c r="C51" s="152"/>
      <c r="D51" s="22">
        <f>D50+D49</f>
        <v>4746.3</v>
      </c>
      <c r="E51" s="60"/>
      <c r="F51" s="50"/>
      <c r="G51" s="41"/>
      <c r="H51" s="33">
        <f>SUM(H49:H50)</f>
        <v>0</v>
      </c>
      <c r="I51" s="33"/>
      <c r="J51" s="43"/>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row>
    <row r="52" spans="1:114" s="46" customFormat="1" ht="26.25" customHeight="1">
      <c r="A52" s="254" t="s">
        <v>16</v>
      </c>
      <c r="B52" s="278"/>
      <c r="C52" s="159" t="s">
        <v>208</v>
      </c>
      <c r="D52" s="60">
        <v>24.3</v>
      </c>
      <c r="E52" s="105" t="s">
        <v>87</v>
      </c>
      <c r="F52" s="50"/>
      <c r="G52" s="41"/>
      <c r="H52" s="14"/>
      <c r="I52" s="14"/>
      <c r="J52" s="43"/>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row>
    <row r="53" spans="1:10" ht="16.5" customHeight="1">
      <c r="A53" s="255"/>
      <c r="B53" s="280"/>
      <c r="C53" s="159"/>
      <c r="D53" s="78"/>
      <c r="E53" s="59"/>
      <c r="F53" s="6"/>
      <c r="G53" s="32"/>
      <c r="H53" s="14"/>
      <c r="I53" s="14"/>
      <c r="J53" s="36"/>
    </row>
    <row r="54" spans="1:114" s="46" customFormat="1" ht="27.75" customHeight="1">
      <c r="A54" s="153" t="s">
        <v>15</v>
      </c>
      <c r="B54" s="39">
        <f>SUM(B52:B52)</f>
        <v>0</v>
      </c>
      <c r="C54" s="161"/>
      <c r="D54" s="23">
        <f>D53+D52</f>
        <v>24.3</v>
      </c>
      <c r="E54" s="82"/>
      <c r="F54" s="50"/>
      <c r="G54" s="41"/>
      <c r="H54" s="33">
        <f>SUM(H52:H53)</f>
        <v>0</v>
      </c>
      <c r="I54" s="33"/>
      <c r="J54" s="43"/>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row>
    <row r="55" spans="1:114" s="46" customFormat="1" ht="153" customHeight="1">
      <c r="A55" s="254" t="s">
        <v>8</v>
      </c>
      <c r="B55" s="278">
        <f>20400+19370</f>
        <v>39770</v>
      </c>
      <c r="C55" s="162" t="s">
        <v>114</v>
      </c>
      <c r="D55" s="60"/>
      <c r="E55" s="59"/>
      <c r="F55" s="50"/>
      <c r="G55" s="41"/>
      <c r="H55" s="33"/>
      <c r="I55" s="33"/>
      <c r="J55" s="43"/>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row>
    <row r="56" spans="1:114" s="46" customFormat="1" ht="92.25" customHeight="1">
      <c r="A56" s="260"/>
      <c r="B56" s="279"/>
      <c r="C56" s="173" t="s">
        <v>255</v>
      </c>
      <c r="D56" s="59">
        <f>75682.87+6315.9</f>
        <v>81998.76999999999</v>
      </c>
      <c r="E56" s="105" t="s">
        <v>87</v>
      </c>
      <c r="F56" s="50"/>
      <c r="G56" s="41"/>
      <c r="H56" s="33"/>
      <c r="I56" s="33"/>
      <c r="J56" s="43"/>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row>
    <row r="57" spans="1:114" s="46" customFormat="1" ht="27" customHeight="1">
      <c r="A57" s="260"/>
      <c r="B57" s="279"/>
      <c r="C57" s="159" t="s">
        <v>208</v>
      </c>
      <c r="D57" s="60">
        <v>18</v>
      </c>
      <c r="E57" s="105" t="s">
        <v>87</v>
      </c>
      <c r="F57" s="50"/>
      <c r="G57" s="41"/>
      <c r="H57" s="33"/>
      <c r="I57" s="33"/>
      <c r="J57" s="43"/>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row>
    <row r="58" spans="1:114" s="46" customFormat="1" ht="34.5" customHeight="1">
      <c r="A58" s="260"/>
      <c r="B58" s="279"/>
      <c r="C58" s="161" t="s">
        <v>197</v>
      </c>
      <c r="D58" s="60">
        <v>33992.14</v>
      </c>
      <c r="E58" s="105" t="s">
        <v>257</v>
      </c>
      <c r="F58" s="50"/>
      <c r="G58" s="41"/>
      <c r="H58" s="33"/>
      <c r="I58" s="33"/>
      <c r="J58" s="43"/>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row>
    <row r="59" spans="1:10" ht="36.75" customHeight="1">
      <c r="A59" s="255"/>
      <c r="B59" s="280"/>
      <c r="C59" s="149" t="s">
        <v>176</v>
      </c>
      <c r="D59" s="60">
        <f>1825+4080+384</f>
        <v>6289</v>
      </c>
      <c r="E59" s="105" t="s">
        <v>175</v>
      </c>
      <c r="F59" s="5"/>
      <c r="G59" s="32"/>
      <c r="H59" s="14"/>
      <c r="I59" s="14"/>
      <c r="J59" s="36"/>
    </row>
    <row r="60" spans="1:114" s="46" customFormat="1" ht="31.5" customHeight="1">
      <c r="A60" s="153" t="s">
        <v>15</v>
      </c>
      <c r="B60" s="39">
        <f>SUM(B55)</f>
        <v>39770</v>
      </c>
      <c r="C60" s="152"/>
      <c r="D60" s="22">
        <f>SUM(D55:D59)</f>
        <v>122297.90999999999</v>
      </c>
      <c r="E60" s="82"/>
      <c r="F60" s="50"/>
      <c r="G60" s="41"/>
      <c r="H60" s="33">
        <f>SUM(H56:H59)</f>
        <v>0</v>
      </c>
      <c r="I60" s="33"/>
      <c r="J60" s="43"/>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row>
    <row r="61" spans="1:114" s="46" customFormat="1" ht="31.5" customHeight="1">
      <c r="A61" s="254" t="s">
        <v>9</v>
      </c>
      <c r="B61" s="278">
        <v>8000</v>
      </c>
      <c r="C61" s="154" t="s">
        <v>115</v>
      </c>
      <c r="D61" s="59"/>
      <c r="E61" s="74"/>
      <c r="F61" s="50"/>
      <c r="G61" s="41"/>
      <c r="H61" s="33"/>
      <c r="I61" s="33"/>
      <c r="J61" s="43"/>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row>
    <row r="62" spans="1:10" ht="32.25" customHeight="1">
      <c r="A62" s="255"/>
      <c r="B62" s="280"/>
      <c r="C62" s="152" t="s">
        <v>205</v>
      </c>
      <c r="D62" s="60">
        <v>9468.3</v>
      </c>
      <c r="E62" s="105" t="s">
        <v>87</v>
      </c>
      <c r="F62" s="5"/>
      <c r="G62" s="32"/>
      <c r="H62" s="12"/>
      <c r="I62" s="14"/>
      <c r="J62" s="36"/>
    </row>
    <row r="63" spans="1:114" s="46" customFormat="1" ht="19.5" customHeight="1">
      <c r="A63" s="153" t="s">
        <v>15</v>
      </c>
      <c r="B63" s="39">
        <f>B61</f>
        <v>8000</v>
      </c>
      <c r="C63" s="159"/>
      <c r="D63" s="22">
        <f>D62+D61</f>
        <v>9468.3</v>
      </c>
      <c r="E63" s="82"/>
      <c r="F63" s="50">
        <f>F62</f>
        <v>0</v>
      </c>
      <c r="G63" s="41"/>
      <c r="H63" s="33">
        <f>SUM(H61:H62)</f>
        <v>0</v>
      </c>
      <c r="I63" s="33"/>
      <c r="J63" s="43"/>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row>
    <row r="64" spans="1:114" s="46" customFormat="1" ht="32.25" customHeight="1">
      <c r="A64" s="254" t="s">
        <v>10</v>
      </c>
      <c r="B64" s="278"/>
      <c r="C64" s="152" t="s">
        <v>205</v>
      </c>
      <c r="D64" s="60">
        <v>4746.3</v>
      </c>
      <c r="E64" s="105" t="s">
        <v>87</v>
      </c>
      <c r="F64" s="50"/>
      <c r="G64" s="41"/>
      <c r="H64" s="33"/>
      <c r="I64" s="33"/>
      <c r="J64" s="43"/>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row>
    <row r="65" spans="1:10" ht="48" customHeight="1">
      <c r="A65" s="255"/>
      <c r="B65" s="280"/>
      <c r="C65" s="116" t="s">
        <v>266</v>
      </c>
      <c r="D65" s="16">
        <v>2160.6</v>
      </c>
      <c r="E65" s="122" t="s">
        <v>175</v>
      </c>
      <c r="F65" s="5"/>
      <c r="G65" s="32"/>
      <c r="H65" s="14"/>
      <c r="I65" s="14"/>
      <c r="J65" s="36"/>
    </row>
    <row r="66" spans="1:114" s="46" customFormat="1" ht="21.75" customHeight="1">
      <c r="A66" s="153" t="s">
        <v>15</v>
      </c>
      <c r="B66" s="39">
        <f>SUM(B64:B64)</f>
        <v>0</v>
      </c>
      <c r="C66" s="152"/>
      <c r="D66" s="22">
        <f>D65+D64</f>
        <v>6906.9</v>
      </c>
      <c r="E66" s="60"/>
      <c r="F66" s="50"/>
      <c r="G66" s="41"/>
      <c r="H66" s="33">
        <f>SUM(H64:H65)</f>
        <v>0</v>
      </c>
      <c r="I66" s="33"/>
      <c r="J66" s="43"/>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row>
    <row r="67" spans="1:114" s="46" customFormat="1" ht="24" customHeight="1">
      <c r="A67" s="254" t="s">
        <v>11</v>
      </c>
      <c r="B67" s="278"/>
      <c r="C67" s="152" t="s">
        <v>211</v>
      </c>
      <c r="D67" s="60">
        <v>24.3</v>
      </c>
      <c r="E67" s="105" t="s">
        <v>87</v>
      </c>
      <c r="F67" s="5"/>
      <c r="G67" s="32"/>
      <c r="H67" s="14"/>
      <c r="I67" s="14"/>
      <c r="J67" s="43"/>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row>
    <row r="68" spans="1:10" ht="23.25" customHeight="1">
      <c r="A68" s="255"/>
      <c r="B68" s="280"/>
      <c r="C68" s="116"/>
      <c r="D68" s="16"/>
      <c r="E68" s="59"/>
      <c r="F68" s="5"/>
      <c r="G68" s="32"/>
      <c r="H68" s="14"/>
      <c r="I68" s="14"/>
      <c r="J68" s="36"/>
    </row>
    <row r="69" spans="1:114" s="46" customFormat="1" ht="23.25" customHeight="1">
      <c r="A69" s="153" t="s">
        <v>15</v>
      </c>
      <c r="B69" s="52">
        <f>SUM(B67:B67)</f>
        <v>0</v>
      </c>
      <c r="C69" s="116"/>
      <c r="D69" s="22">
        <f>D68+D67</f>
        <v>24.3</v>
      </c>
      <c r="E69" s="60"/>
      <c r="F69" s="50">
        <f>F68+F67</f>
        <v>0</v>
      </c>
      <c r="G69" s="41"/>
      <c r="H69" s="33">
        <f>SUM(H67:H68)</f>
        <v>0</v>
      </c>
      <c r="I69" s="33"/>
      <c r="J69" s="43"/>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row>
    <row r="70" spans="1:114" s="46" customFormat="1" ht="28.5" customHeight="1">
      <c r="A70" s="254" t="s">
        <v>12</v>
      </c>
      <c r="B70" s="278"/>
      <c r="C70" s="152" t="s">
        <v>211</v>
      </c>
      <c r="D70" s="60">
        <v>24.3</v>
      </c>
      <c r="E70" s="105" t="s">
        <v>87</v>
      </c>
      <c r="F70" s="50"/>
      <c r="G70" s="41"/>
      <c r="H70" s="33"/>
      <c r="I70" s="33"/>
      <c r="J70" s="43"/>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row>
    <row r="71" spans="1:10" ht="18" customHeight="1">
      <c r="A71" s="255"/>
      <c r="B71" s="280"/>
      <c r="C71" s="152"/>
      <c r="D71" s="60"/>
      <c r="E71" s="105"/>
      <c r="F71" s="5"/>
      <c r="G71" s="32"/>
      <c r="H71" s="14"/>
      <c r="I71" s="14"/>
      <c r="J71" s="36"/>
    </row>
    <row r="72" spans="1:114" s="46" customFormat="1" ht="24.75" customHeight="1">
      <c r="A72" s="153" t="s">
        <v>15</v>
      </c>
      <c r="B72" s="39">
        <f>SUM(B70:B70)</f>
        <v>0</v>
      </c>
      <c r="C72" s="116"/>
      <c r="D72" s="22">
        <f>D71+D70</f>
        <v>24.3</v>
      </c>
      <c r="E72" s="82"/>
      <c r="F72" s="50"/>
      <c r="G72" s="41"/>
      <c r="H72" s="33">
        <f>SUM(H70:H71)</f>
        <v>0</v>
      </c>
      <c r="I72" s="33"/>
      <c r="J72" s="43"/>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row>
    <row r="73" spans="1:114" s="46" customFormat="1" ht="83.25" customHeight="1">
      <c r="A73" s="254" t="s">
        <v>13</v>
      </c>
      <c r="B73" s="278"/>
      <c r="C73" s="152" t="s">
        <v>201</v>
      </c>
      <c r="D73" s="59">
        <v>65980.76</v>
      </c>
      <c r="E73" s="105" t="s">
        <v>87</v>
      </c>
      <c r="F73" s="50"/>
      <c r="G73" s="41"/>
      <c r="H73" s="14"/>
      <c r="I73" s="14"/>
      <c r="J73" s="43"/>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row>
    <row r="74" spans="1:114" s="46" customFormat="1" ht="33.75" customHeight="1">
      <c r="A74" s="260"/>
      <c r="B74" s="279"/>
      <c r="C74" s="116" t="s">
        <v>203</v>
      </c>
      <c r="D74" s="59">
        <v>18</v>
      </c>
      <c r="E74" s="105" t="s">
        <v>202</v>
      </c>
      <c r="F74" s="50"/>
      <c r="G74" s="41"/>
      <c r="H74" s="14"/>
      <c r="I74" s="14"/>
      <c r="J74" s="43"/>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row>
    <row r="75" spans="1:10" ht="37.5" customHeight="1">
      <c r="A75" s="255"/>
      <c r="B75" s="280"/>
      <c r="C75" s="149" t="s">
        <v>176</v>
      </c>
      <c r="D75" s="60">
        <f>1733.75+4080+432</f>
        <v>6245.75</v>
      </c>
      <c r="E75" s="105" t="s">
        <v>175</v>
      </c>
      <c r="F75" s="5"/>
      <c r="G75" s="32"/>
      <c r="H75" s="14"/>
      <c r="I75" s="14"/>
      <c r="J75" s="36"/>
    </row>
    <row r="76" spans="1:10" ht="21.75" customHeight="1">
      <c r="A76" s="153" t="s">
        <v>15</v>
      </c>
      <c r="B76" s="39">
        <f>SUM(B73:B73)</f>
        <v>0</v>
      </c>
      <c r="C76" s="116"/>
      <c r="D76" s="22">
        <f>SUM(D73:D75)</f>
        <v>72244.51</v>
      </c>
      <c r="E76" s="82"/>
      <c r="F76" s="50">
        <f>F75</f>
        <v>0</v>
      </c>
      <c r="G76" s="32"/>
      <c r="H76" s="33">
        <f>SUM(H73:H75)</f>
        <v>0</v>
      </c>
      <c r="I76" s="14"/>
      <c r="J76" s="36"/>
    </row>
    <row r="77" spans="1:10" s="56" customFormat="1" ht="27" customHeight="1">
      <c r="A77" s="258" t="s">
        <v>83</v>
      </c>
      <c r="B77" s="278">
        <f>2866+8420</f>
        <v>11286</v>
      </c>
      <c r="C77" s="116" t="s">
        <v>203</v>
      </c>
      <c r="D77" s="59">
        <v>18</v>
      </c>
      <c r="E77" s="105" t="s">
        <v>202</v>
      </c>
      <c r="F77" s="54"/>
      <c r="G77" s="4"/>
      <c r="H77" s="10"/>
      <c r="I77" s="11"/>
      <c r="J77" s="55"/>
    </row>
    <row r="78" spans="1:10" s="56" customFormat="1" ht="118.5" customHeight="1">
      <c r="A78" s="263"/>
      <c r="B78" s="279"/>
      <c r="C78" s="158" t="s">
        <v>259</v>
      </c>
      <c r="D78" s="59"/>
      <c r="E78" s="105"/>
      <c r="F78" s="54"/>
      <c r="G78" s="4"/>
      <c r="H78" s="10"/>
      <c r="I78" s="11"/>
      <c r="J78" s="55"/>
    </row>
    <row r="79" spans="1:10" ht="34.5" customHeight="1">
      <c r="A79" s="259"/>
      <c r="B79" s="280"/>
      <c r="C79" s="152" t="s">
        <v>258</v>
      </c>
      <c r="D79" s="60">
        <f>4746.3+11751.2</f>
        <v>16497.5</v>
      </c>
      <c r="E79" s="105" t="s">
        <v>87</v>
      </c>
      <c r="F79" s="5"/>
      <c r="G79" s="32"/>
      <c r="H79" s="14"/>
      <c r="I79" s="14"/>
      <c r="J79" s="43"/>
    </row>
    <row r="80" spans="1:114" s="46" customFormat="1" ht="18" customHeight="1">
      <c r="A80" s="153" t="s">
        <v>15</v>
      </c>
      <c r="B80" s="39">
        <f>SUM(B77:B77)</f>
        <v>11286</v>
      </c>
      <c r="C80" s="116"/>
      <c r="D80" s="22">
        <f>SUM(D77:D79)</f>
        <v>16515.5</v>
      </c>
      <c r="E80" s="23"/>
      <c r="F80" s="50">
        <f>F79</f>
        <v>0</v>
      </c>
      <c r="G80" s="41"/>
      <c r="H80" s="9">
        <f>SUM(H77:H79)</f>
        <v>0</v>
      </c>
      <c r="I80" s="33"/>
      <c r="J80" s="43"/>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row>
    <row r="81" spans="1:114" s="46" customFormat="1" ht="33" customHeight="1">
      <c r="A81" s="258" t="s">
        <v>82</v>
      </c>
      <c r="B81" s="278"/>
      <c r="C81" s="152" t="s">
        <v>265</v>
      </c>
      <c r="D81" s="60">
        <f>4746.3+79120</f>
        <v>83866.3</v>
      </c>
      <c r="E81" s="105" t="s">
        <v>87</v>
      </c>
      <c r="F81" s="50"/>
      <c r="G81" s="41"/>
      <c r="H81" s="14"/>
      <c r="I81" s="14"/>
      <c r="J81" s="43"/>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row>
    <row r="82" spans="1:10" ht="19.5" customHeight="1">
      <c r="A82" s="259"/>
      <c r="B82" s="280"/>
      <c r="C82" s="116"/>
      <c r="D82" s="59"/>
      <c r="E82" s="59"/>
      <c r="F82" s="5"/>
      <c r="G82" s="32"/>
      <c r="H82" s="33"/>
      <c r="I82" s="33"/>
      <c r="J82" s="43"/>
    </row>
    <row r="83" spans="1:114" s="46" customFormat="1" ht="30.75" customHeight="1">
      <c r="A83" s="153" t="s">
        <v>15</v>
      </c>
      <c r="B83" s="39">
        <f>SUM(B81:B81)</f>
        <v>0</v>
      </c>
      <c r="C83" s="116"/>
      <c r="D83" s="22">
        <f>SUM(D81:D82)</f>
        <v>83866.3</v>
      </c>
      <c r="E83" s="23"/>
      <c r="F83" s="50">
        <f>F82</f>
        <v>0</v>
      </c>
      <c r="G83" s="41"/>
      <c r="H83" s="33">
        <f>SUM(H81:H82)</f>
        <v>0</v>
      </c>
      <c r="I83" s="33"/>
      <c r="J83" s="43"/>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row>
    <row r="84" spans="1:114" s="46" customFormat="1" ht="30.75" customHeight="1">
      <c r="A84" s="163" t="s">
        <v>44</v>
      </c>
      <c r="B84" s="22">
        <f>B83+B80+B76+B72+B69+B66+B63+B60+B54+B51+B48+B43+B40+B36+B32+B28+B25+B20+B15</f>
        <v>72619.6</v>
      </c>
      <c r="C84" s="3"/>
      <c r="D84" s="22">
        <f>D83+D80+D76+D72+D69+D66+D63+D60+D54+D51+D48+D43+D40+D36+D32+D28+D25+D20+D15</f>
        <v>871963.96</v>
      </c>
      <c r="E84" s="23"/>
      <c r="F84" s="22">
        <f>F83+F80+F76+F72+F69+F66+F63+F60+F54+F51+F48+F43+F40+F36+F32+F28+F25+F20+F15</f>
        <v>0</v>
      </c>
      <c r="G84" s="4"/>
      <c r="H84" s="22">
        <f>H83+H80+H76+H72+H69+H66+H63+H60+H54+H51+H48+H43+H40+H36+H32+H28+H25+H20+H15</f>
        <v>0</v>
      </c>
      <c r="I84" s="120"/>
      <c r="J84" s="43"/>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row>
    <row r="85" spans="1:114" s="46" customFormat="1" ht="211.5" customHeight="1">
      <c r="A85" s="254" t="s">
        <v>72</v>
      </c>
      <c r="B85" s="278">
        <v>115</v>
      </c>
      <c r="C85" s="156" t="s">
        <v>269</v>
      </c>
      <c r="D85" s="122">
        <f>448611.18+10526.5+15338.52</f>
        <v>474476.2</v>
      </c>
      <c r="E85" s="105" t="s">
        <v>87</v>
      </c>
      <c r="F85" s="118"/>
      <c r="G85" s="119"/>
      <c r="H85" s="33"/>
      <c r="I85" s="120"/>
      <c r="J85" s="43"/>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row>
    <row r="86" spans="1:114" s="46" customFormat="1" ht="124.5" customHeight="1">
      <c r="A86" s="260"/>
      <c r="B86" s="279"/>
      <c r="C86" s="156" t="s">
        <v>90</v>
      </c>
      <c r="D86" s="122">
        <v>151722</v>
      </c>
      <c r="E86" s="105" t="s">
        <v>80</v>
      </c>
      <c r="F86" s="118"/>
      <c r="G86" s="119"/>
      <c r="H86" s="33"/>
      <c r="I86" s="120"/>
      <c r="J86" s="43"/>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row>
    <row r="87" spans="1:114" s="46" customFormat="1" ht="28.5" customHeight="1">
      <c r="A87" s="260"/>
      <c r="B87" s="279"/>
      <c r="C87" s="162" t="s">
        <v>81</v>
      </c>
      <c r="D87" s="144">
        <f>673.92</f>
        <v>673.92</v>
      </c>
      <c r="E87" s="105" t="s">
        <v>91</v>
      </c>
      <c r="F87" s="118"/>
      <c r="G87" s="119"/>
      <c r="H87" s="33"/>
      <c r="I87" s="120"/>
      <c r="J87" s="43"/>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row>
    <row r="88" spans="1:114" s="46" customFormat="1" ht="36.75" customHeight="1">
      <c r="A88" s="260"/>
      <c r="B88" s="279"/>
      <c r="C88" s="128" t="s">
        <v>81</v>
      </c>
      <c r="D88" s="109">
        <v>1280.45</v>
      </c>
      <c r="E88" s="59" t="s">
        <v>92</v>
      </c>
      <c r="F88" s="118"/>
      <c r="G88" s="119"/>
      <c r="H88" s="33"/>
      <c r="I88" s="120"/>
      <c r="J88" s="43"/>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row>
    <row r="89" spans="1:114" s="46" customFormat="1" ht="45.75" customHeight="1">
      <c r="A89" s="260"/>
      <c r="B89" s="279"/>
      <c r="C89" s="146" t="s">
        <v>150</v>
      </c>
      <c r="D89" s="109">
        <f>240+10525+10943</f>
        <v>21708</v>
      </c>
      <c r="E89" s="106" t="s">
        <v>131</v>
      </c>
      <c r="F89" s="5"/>
      <c r="G89" s="14"/>
      <c r="H89" s="12"/>
      <c r="I89" s="15"/>
      <c r="J89" s="43"/>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row>
    <row r="90" spans="1:114" s="46" customFormat="1" ht="173.25" customHeight="1">
      <c r="A90" s="260"/>
      <c r="B90" s="279"/>
      <c r="C90" s="146" t="s">
        <v>133</v>
      </c>
      <c r="D90" s="109">
        <f>57558.22+112102.29+36683.7</f>
        <v>206344.21000000002</v>
      </c>
      <c r="E90" s="106" t="s">
        <v>132</v>
      </c>
      <c r="F90" s="5"/>
      <c r="G90" s="14"/>
      <c r="H90" s="12"/>
      <c r="I90" s="15"/>
      <c r="J90" s="43"/>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row>
    <row r="91" spans="1:114" s="46" customFormat="1" ht="18.75" customHeight="1">
      <c r="A91" s="260"/>
      <c r="B91" s="279"/>
      <c r="C91" s="146" t="s">
        <v>246</v>
      </c>
      <c r="D91" s="109"/>
      <c r="E91" s="106"/>
      <c r="F91" s="5"/>
      <c r="G91" s="14"/>
      <c r="H91" s="12"/>
      <c r="I91" s="15"/>
      <c r="J91" s="43"/>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row>
    <row r="92" spans="1:114" s="46" customFormat="1" ht="18.75" customHeight="1">
      <c r="A92" s="260"/>
      <c r="B92" s="279"/>
      <c r="C92" s="21" t="s">
        <v>85</v>
      </c>
      <c r="D92" s="60">
        <v>9192.75</v>
      </c>
      <c r="E92" s="125" t="s">
        <v>86</v>
      </c>
      <c r="F92" s="5"/>
      <c r="G92" s="14"/>
      <c r="H92" s="12"/>
      <c r="I92" s="15"/>
      <c r="J92" s="43"/>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row>
    <row r="93" spans="1:114" s="46" customFormat="1" ht="27.75" customHeight="1">
      <c r="A93" s="260"/>
      <c r="B93" s="279"/>
      <c r="C93" s="146" t="s">
        <v>254</v>
      </c>
      <c r="D93" s="109">
        <f>4880+5083.23</f>
        <v>9963.23</v>
      </c>
      <c r="E93" s="106" t="s">
        <v>198</v>
      </c>
      <c r="F93" s="5"/>
      <c r="G93" s="14"/>
      <c r="H93" s="12"/>
      <c r="I93" s="15"/>
      <c r="J93" s="43"/>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row>
    <row r="94" spans="1:114" s="46" customFormat="1" ht="38.25" customHeight="1">
      <c r="A94" s="255"/>
      <c r="B94" s="280"/>
      <c r="C94" s="146" t="s">
        <v>149</v>
      </c>
      <c r="D94" s="122">
        <f>234344+134230.34</f>
        <v>368574.33999999997</v>
      </c>
      <c r="E94" s="106" t="s">
        <v>148</v>
      </c>
      <c r="F94" s="5"/>
      <c r="G94" s="14"/>
      <c r="H94" s="12"/>
      <c r="I94" s="15"/>
      <c r="J94" s="43"/>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row>
    <row r="95" spans="1:114" s="46" customFormat="1" ht="27.75" customHeight="1">
      <c r="A95" s="153" t="s">
        <v>15</v>
      </c>
      <c r="B95" s="39">
        <f>B85</f>
        <v>115</v>
      </c>
      <c r="C95" s="2"/>
      <c r="D95" s="22">
        <f>SUM(D85:D94)</f>
        <v>1243935.1</v>
      </c>
      <c r="E95" s="23"/>
      <c r="F95" s="50">
        <f>F94</f>
        <v>0</v>
      </c>
      <c r="G95" s="41"/>
      <c r="H95" s="9">
        <f>SUM(H89:H94)</f>
        <v>0</v>
      </c>
      <c r="I95" s="33"/>
      <c r="J95" s="43"/>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row>
    <row r="96" spans="1:114" s="46" customFormat="1" ht="48.75" customHeight="1">
      <c r="A96" s="254" t="s">
        <v>28</v>
      </c>
      <c r="B96" s="278"/>
      <c r="C96" s="21" t="s">
        <v>152</v>
      </c>
      <c r="D96" s="16">
        <v>450053.76</v>
      </c>
      <c r="E96" s="16" t="s">
        <v>151</v>
      </c>
      <c r="F96" s="288"/>
      <c r="G96" s="268"/>
      <c r="H96" s="9"/>
      <c r="I96" s="33"/>
      <c r="J96" s="43"/>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row>
    <row r="97" spans="1:114" s="46" customFormat="1" ht="25.5" customHeight="1">
      <c r="A97" s="260"/>
      <c r="B97" s="279"/>
      <c r="C97" s="21" t="s">
        <v>85</v>
      </c>
      <c r="D97" s="60">
        <v>36771</v>
      </c>
      <c r="E97" s="125" t="s">
        <v>86</v>
      </c>
      <c r="F97" s="289"/>
      <c r="G97" s="271"/>
      <c r="H97" s="9"/>
      <c r="I97" s="33"/>
      <c r="J97" s="43"/>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row>
    <row r="98" spans="1:114" s="46" customFormat="1" ht="31.5" customHeight="1">
      <c r="A98" s="260"/>
      <c r="B98" s="279"/>
      <c r="C98" s="176" t="s">
        <v>254</v>
      </c>
      <c r="D98" s="60">
        <f>6100+5083.23</f>
        <v>11183.23</v>
      </c>
      <c r="E98" s="102" t="s">
        <v>198</v>
      </c>
      <c r="F98" s="289"/>
      <c r="G98" s="271"/>
      <c r="H98" s="9"/>
      <c r="I98" s="33"/>
      <c r="J98" s="43"/>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row>
    <row r="99" spans="1:114" s="46" customFormat="1" ht="45.75" customHeight="1">
      <c r="A99" s="260"/>
      <c r="B99" s="279"/>
      <c r="C99" s="150" t="s">
        <v>213</v>
      </c>
      <c r="D99" s="59">
        <v>223908.3</v>
      </c>
      <c r="E99" s="105" t="s">
        <v>87</v>
      </c>
      <c r="F99" s="289"/>
      <c r="G99" s="271"/>
      <c r="H99" s="14"/>
      <c r="I99" s="14"/>
      <c r="J99" s="43"/>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row>
    <row r="100" spans="1:9" ht="2.25" customHeight="1" hidden="1">
      <c r="A100" s="255"/>
      <c r="B100" s="280"/>
      <c r="C100" s="114"/>
      <c r="D100" s="59"/>
      <c r="E100" s="83"/>
      <c r="F100" s="290"/>
      <c r="G100" s="269"/>
      <c r="H100" s="57"/>
      <c r="I100" s="14"/>
    </row>
    <row r="101" spans="1:114" s="46" customFormat="1" ht="19.5" customHeight="1">
      <c r="A101" s="153" t="s">
        <v>15</v>
      </c>
      <c r="B101" s="39">
        <f>SUM(B96:B96)</f>
        <v>0</v>
      </c>
      <c r="C101" s="2"/>
      <c r="D101" s="101">
        <f>SUM(D96:D100)</f>
        <v>721916.29</v>
      </c>
      <c r="E101" s="84"/>
      <c r="F101" s="50">
        <f>F96</f>
        <v>0</v>
      </c>
      <c r="G101" s="41"/>
      <c r="H101" s="8">
        <f>SUM(H99:H100)</f>
        <v>0</v>
      </c>
      <c r="I101" s="33"/>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row>
    <row r="102" spans="1:114" s="46" customFormat="1" ht="108" customHeight="1">
      <c r="A102" s="254" t="s">
        <v>55</v>
      </c>
      <c r="B102" s="278"/>
      <c r="C102" s="156" t="s">
        <v>270</v>
      </c>
      <c r="D102" s="59">
        <f>277643.43+38761.2+1023.96+7669.26+3964.95</f>
        <v>329062.80000000005</v>
      </c>
      <c r="E102" s="105" t="s">
        <v>87</v>
      </c>
      <c r="F102" s="288"/>
      <c r="G102" s="268"/>
      <c r="H102" s="8"/>
      <c r="I102" s="33"/>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row>
    <row r="103" spans="1:114" s="46" customFormat="1" ht="26.25" customHeight="1">
      <c r="A103" s="260"/>
      <c r="B103" s="279"/>
      <c r="C103" s="21" t="s">
        <v>85</v>
      </c>
      <c r="D103" s="60">
        <v>27578.25</v>
      </c>
      <c r="E103" s="125" t="s">
        <v>86</v>
      </c>
      <c r="F103" s="289"/>
      <c r="G103" s="271"/>
      <c r="H103" s="8"/>
      <c r="I103" s="33"/>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row>
    <row r="104" spans="1:114" s="46" customFormat="1" ht="33.75" customHeight="1">
      <c r="A104" s="255"/>
      <c r="B104" s="280"/>
      <c r="C104" s="114" t="s">
        <v>254</v>
      </c>
      <c r="D104" s="59">
        <f>2440+5083.23</f>
        <v>7523.23</v>
      </c>
      <c r="E104" s="102" t="s">
        <v>198</v>
      </c>
      <c r="F104" s="290"/>
      <c r="G104" s="269"/>
      <c r="H104" s="58"/>
      <c r="I104" s="58"/>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row>
    <row r="105" spans="1:114" s="46" customFormat="1" ht="26.25" customHeight="1">
      <c r="A105" s="153" t="s">
        <v>15</v>
      </c>
      <c r="B105" s="39">
        <f>SUM(B102:B104)</f>
        <v>0</v>
      </c>
      <c r="C105" s="3"/>
      <c r="D105" s="23">
        <f>SUM(D102:D104)</f>
        <v>364164.28</v>
      </c>
      <c r="E105" s="23"/>
      <c r="F105" s="10">
        <f>F102</f>
        <v>0</v>
      </c>
      <c r="G105" s="41"/>
      <c r="H105" s="8">
        <f>SUM(H102:H104)</f>
        <v>0</v>
      </c>
      <c r="I105" s="33"/>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row>
    <row r="106" spans="1:114" s="46" customFormat="1" ht="129.75" customHeight="1">
      <c r="A106" s="254" t="s">
        <v>54</v>
      </c>
      <c r="B106" s="284"/>
      <c r="C106" s="128" t="s">
        <v>271</v>
      </c>
      <c r="D106" s="60">
        <f>235420.3+12631.8+16190.66</f>
        <v>264242.75999999995</v>
      </c>
      <c r="E106" s="105" t="s">
        <v>87</v>
      </c>
      <c r="F106" s="266"/>
      <c r="G106" s="268"/>
      <c r="H106" s="57"/>
      <c r="I106" s="14"/>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row>
    <row r="107" spans="1:114" s="46" customFormat="1" ht="23.25" customHeight="1">
      <c r="A107" s="260"/>
      <c r="B107" s="285"/>
      <c r="C107" s="136" t="s">
        <v>134</v>
      </c>
      <c r="D107" s="109">
        <v>4320</v>
      </c>
      <c r="E107" s="117" t="s">
        <v>136</v>
      </c>
      <c r="F107" s="270"/>
      <c r="G107" s="271"/>
      <c r="H107" s="57"/>
      <c r="I107" s="14"/>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row>
    <row r="108" spans="1:114" s="46" customFormat="1" ht="33" customHeight="1">
      <c r="A108" s="260"/>
      <c r="B108" s="285"/>
      <c r="C108" s="136" t="s">
        <v>254</v>
      </c>
      <c r="D108" s="109">
        <f>4270+5083.23</f>
        <v>9353.23</v>
      </c>
      <c r="E108" s="102" t="s">
        <v>198</v>
      </c>
      <c r="F108" s="270"/>
      <c r="G108" s="271"/>
      <c r="H108" s="57"/>
      <c r="I108" s="14"/>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row>
    <row r="109" spans="1:114" s="46" customFormat="1" ht="22.5" customHeight="1">
      <c r="A109" s="260"/>
      <c r="B109" s="285"/>
      <c r="C109" s="21" t="s">
        <v>85</v>
      </c>
      <c r="D109" s="60">
        <v>9192.75</v>
      </c>
      <c r="E109" s="125" t="s">
        <v>86</v>
      </c>
      <c r="F109" s="270"/>
      <c r="G109" s="271"/>
      <c r="H109" s="57"/>
      <c r="I109" s="14"/>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row>
    <row r="110" spans="1:114" s="46" customFormat="1" ht="42" customHeight="1">
      <c r="A110" s="255"/>
      <c r="B110" s="286"/>
      <c r="C110" s="128" t="s">
        <v>121</v>
      </c>
      <c r="D110" s="109">
        <f>6770+5607</f>
        <v>12377</v>
      </c>
      <c r="E110" s="59" t="s">
        <v>108</v>
      </c>
      <c r="F110" s="267"/>
      <c r="G110" s="269"/>
      <c r="H110" s="8"/>
      <c r="I110" s="33"/>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row>
    <row r="111" spans="1:114" s="46" customFormat="1" ht="24" customHeight="1">
      <c r="A111" s="153" t="s">
        <v>15</v>
      </c>
      <c r="B111" s="39">
        <f>SUM(B106:B110)</f>
        <v>0</v>
      </c>
      <c r="C111" s="3"/>
      <c r="D111" s="22">
        <f>SUM(D106:D110)</f>
        <v>299485.73999999993</v>
      </c>
      <c r="E111" s="23"/>
      <c r="F111" s="10">
        <f>F106</f>
        <v>0</v>
      </c>
      <c r="G111" s="41"/>
      <c r="H111" s="8">
        <f>SUM(H106:H110)</f>
        <v>0</v>
      </c>
      <c r="I111" s="33"/>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row>
    <row r="112" spans="1:114" s="46" customFormat="1" ht="28.5" customHeight="1">
      <c r="A112" s="254" t="s">
        <v>73</v>
      </c>
      <c r="B112" s="278"/>
      <c r="C112" s="162" t="s">
        <v>81</v>
      </c>
      <c r="D112" s="144">
        <v>1979.64</v>
      </c>
      <c r="E112" s="105" t="s">
        <v>91</v>
      </c>
      <c r="F112" s="123"/>
      <c r="G112" s="119"/>
      <c r="H112" s="8"/>
      <c r="I112" s="33"/>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row>
    <row r="113" spans="1:114" s="46" customFormat="1" ht="26.25" customHeight="1">
      <c r="A113" s="260"/>
      <c r="B113" s="279"/>
      <c r="C113" s="128" t="s">
        <v>81</v>
      </c>
      <c r="D113" s="109">
        <v>1280.45</v>
      </c>
      <c r="E113" s="59" t="s">
        <v>92</v>
      </c>
      <c r="F113" s="123"/>
      <c r="G113" s="119"/>
      <c r="H113" s="8"/>
      <c r="I113" s="33"/>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row>
    <row r="114" spans="1:114" s="46" customFormat="1" ht="131.25" customHeight="1">
      <c r="A114" s="260"/>
      <c r="B114" s="279"/>
      <c r="C114" s="128" t="s">
        <v>272</v>
      </c>
      <c r="D114" s="109">
        <f>384775.88+19599.22</f>
        <v>404375.1</v>
      </c>
      <c r="E114" s="105" t="s">
        <v>87</v>
      </c>
      <c r="F114" s="123"/>
      <c r="G114" s="119"/>
      <c r="H114" s="8"/>
      <c r="I114" s="33"/>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row>
    <row r="115" spans="1:114" s="46" customFormat="1" ht="39.75" customHeight="1">
      <c r="A115" s="260"/>
      <c r="B115" s="279"/>
      <c r="C115" s="128" t="s">
        <v>235</v>
      </c>
      <c r="D115" s="109">
        <v>51857.53</v>
      </c>
      <c r="E115" s="105" t="s">
        <v>236</v>
      </c>
      <c r="F115" s="123"/>
      <c r="G115" s="119"/>
      <c r="H115" s="8"/>
      <c r="I115" s="33"/>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row>
    <row r="116" spans="1:114" s="46" customFormat="1" ht="39" customHeight="1">
      <c r="A116" s="260"/>
      <c r="B116" s="279"/>
      <c r="C116" s="128" t="s">
        <v>237</v>
      </c>
      <c r="D116" s="109">
        <v>3688</v>
      </c>
      <c r="E116" s="105" t="s">
        <v>238</v>
      </c>
      <c r="F116" s="123"/>
      <c r="G116" s="119"/>
      <c r="H116" s="8"/>
      <c r="I116" s="33"/>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row>
    <row r="117" spans="1:114" s="46" customFormat="1" ht="20.25" customHeight="1">
      <c r="A117" s="260"/>
      <c r="B117" s="279"/>
      <c r="C117" s="21" t="s">
        <v>85</v>
      </c>
      <c r="D117" s="60">
        <v>9192.75</v>
      </c>
      <c r="E117" s="125" t="s">
        <v>86</v>
      </c>
      <c r="F117" s="123"/>
      <c r="G117" s="119"/>
      <c r="H117" s="8"/>
      <c r="I117" s="33"/>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row>
    <row r="118" spans="1:9" ht="23.25" customHeight="1">
      <c r="A118" s="260"/>
      <c r="B118" s="279"/>
      <c r="C118" s="152" t="s">
        <v>29</v>
      </c>
      <c r="D118" s="109">
        <v>64487.68</v>
      </c>
      <c r="E118" s="109" t="s">
        <v>142</v>
      </c>
      <c r="F118" s="281"/>
      <c r="G118" s="268"/>
      <c r="H118" s="5"/>
      <c r="I118" s="14"/>
    </row>
    <row r="119" spans="1:9" ht="81.75" customHeight="1">
      <c r="A119" s="260"/>
      <c r="B119" s="279"/>
      <c r="C119" s="171" t="s">
        <v>154</v>
      </c>
      <c r="D119" s="82">
        <f>93980+22196.34+89605.8</f>
        <v>205782.14</v>
      </c>
      <c r="E119" s="171" t="s">
        <v>153</v>
      </c>
      <c r="F119" s="282"/>
      <c r="G119" s="271"/>
      <c r="H119" s="5"/>
      <c r="I119" s="14"/>
    </row>
    <row r="120" spans="1:9" ht="180" customHeight="1">
      <c r="A120" s="260"/>
      <c r="B120" s="279"/>
      <c r="C120" s="174" t="s">
        <v>242</v>
      </c>
      <c r="D120" s="82">
        <f>60510.42+51960</f>
        <v>112470.42</v>
      </c>
      <c r="E120" s="16" t="s">
        <v>241</v>
      </c>
      <c r="F120" s="282"/>
      <c r="G120" s="271"/>
      <c r="H120" s="5"/>
      <c r="I120" s="14"/>
    </row>
    <row r="121" spans="1:9" ht="21.75" customHeight="1">
      <c r="A121" s="260"/>
      <c r="B121" s="279"/>
      <c r="C121" s="116" t="s">
        <v>155</v>
      </c>
      <c r="D121" s="82">
        <v>60</v>
      </c>
      <c r="E121" s="59" t="s">
        <v>108</v>
      </c>
      <c r="F121" s="282"/>
      <c r="G121" s="271"/>
      <c r="H121" s="5"/>
      <c r="I121" s="14"/>
    </row>
    <row r="122" spans="1:9" ht="30" customHeight="1">
      <c r="A122" s="260"/>
      <c r="B122" s="279"/>
      <c r="C122" s="152" t="s">
        <v>254</v>
      </c>
      <c r="D122" s="109">
        <f>4880+5083.23</f>
        <v>9963.23</v>
      </c>
      <c r="E122" s="102" t="s">
        <v>198</v>
      </c>
      <c r="F122" s="282"/>
      <c r="G122" s="271"/>
      <c r="H122" s="5"/>
      <c r="I122" s="14"/>
    </row>
    <row r="123" spans="1:9" ht="15" customHeight="1">
      <c r="A123" s="255"/>
      <c r="B123" s="280"/>
      <c r="C123" s="152"/>
      <c r="D123" s="109"/>
      <c r="E123" s="100"/>
      <c r="F123" s="283"/>
      <c r="G123" s="269"/>
      <c r="H123" s="5"/>
      <c r="I123" s="14"/>
    </row>
    <row r="124" spans="1:114" s="46" customFormat="1" ht="22.5" customHeight="1">
      <c r="A124" s="153" t="s">
        <v>15</v>
      </c>
      <c r="B124" s="52">
        <f>SUM(B112:B112)</f>
        <v>0</v>
      </c>
      <c r="C124" s="152"/>
      <c r="D124" s="22">
        <f>SUM(D112:D123)</f>
        <v>865136.9400000001</v>
      </c>
      <c r="E124" s="23"/>
      <c r="F124" s="10">
        <f>F118</f>
        <v>0</v>
      </c>
      <c r="G124" s="41"/>
      <c r="H124" s="50">
        <f>H118</f>
        <v>0</v>
      </c>
      <c r="I124" s="33"/>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row>
    <row r="125" spans="1:114" s="46" customFormat="1" ht="174.75" customHeight="1" hidden="1">
      <c r="A125" s="153" t="s">
        <v>15</v>
      </c>
      <c r="B125" s="39">
        <f>SUM(B112:B124)</f>
        <v>0</v>
      </c>
      <c r="C125" s="2"/>
      <c r="D125" s="23"/>
      <c r="E125" s="22"/>
      <c r="F125" s="9"/>
      <c r="G125" s="41"/>
      <c r="H125" s="8"/>
      <c r="I125" s="8"/>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row>
    <row r="126" spans="1:114" s="46" customFormat="1" ht="16.5" customHeight="1" hidden="1">
      <c r="A126" s="164" t="s">
        <v>27</v>
      </c>
      <c r="B126" s="62">
        <v>10999</v>
      </c>
      <c r="C126" s="152" t="s">
        <v>35</v>
      </c>
      <c r="D126" s="23"/>
      <c r="E126" s="22"/>
      <c r="F126" s="9"/>
      <c r="G126" s="41"/>
      <c r="H126" s="8"/>
      <c r="I126" s="8"/>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row>
    <row r="127" spans="1:9" ht="17.25" customHeight="1" hidden="1">
      <c r="A127" s="164" t="s">
        <v>27</v>
      </c>
      <c r="B127" s="62">
        <v>1219</v>
      </c>
      <c r="C127" s="152" t="s">
        <v>29</v>
      </c>
      <c r="D127" s="60"/>
      <c r="E127" s="22"/>
      <c r="F127" s="12"/>
      <c r="G127" s="32"/>
      <c r="H127" s="57"/>
      <c r="I127" s="14"/>
    </row>
    <row r="128" spans="1:114" s="46" customFormat="1" ht="16.5" customHeight="1" hidden="1">
      <c r="A128" s="153" t="s">
        <v>15</v>
      </c>
      <c r="B128" s="39">
        <f>SUM(B126:B127)</f>
        <v>12218</v>
      </c>
      <c r="C128" s="2"/>
      <c r="D128" s="23"/>
      <c r="E128" s="22"/>
      <c r="F128" s="9"/>
      <c r="G128" s="41"/>
      <c r="H128" s="8"/>
      <c r="I128" s="8"/>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row>
    <row r="129" spans="1:114" s="46" customFormat="1" ht="16.5" customHeight="1" hidden="1">
      <c r="A129" s="164" t="s">
        <v>22</v>
      </c>
      <c r="B129" s="59">
        <v>3133</v>
      </c>
      <c r="C129" s="152" t="s">
        <v>30</v>
      </c>
      <c r="D129" s="60"/>
      <c r="E129" s="22"/>
      <c r="F129" s="9"/>
      <c r="G129" s="41"/>
      <c r="H129" s="8"/>
      <c r="I129" s="8"/>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row>
    <row r="130" spans="1:114" s="46" customFormat="1" ht="18.75" customHeight="1" hidden="1">
      <c r="A130" s="164" t="s">
        <v>22</v>
      </c>
      <c r="B130" s="59">
        <v>120</v>
      </c>
      <c r="C130" s="152" t="s">
        <v>26</v>
      </c>
      <c r="D130" s="60"/>
      <c r="E130" s="22"/>
      <c r="F130" s="9"/>
      <c r="G130" s="41"/>
      <c r="H130" s="8"/>
      <c r="I130" s="8"/>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row>
    <row r="131" spans="1:114" s="46" customFormat="1" ht="18.75" customHeight="1" hidden="1">
      <c r="A131" s="164" t="s">
        <v>22</v>
      </c>
      <c r="B131" s="59">
        <v>210</v>
      </c>
      <c r="C131" s="152" t="s">
        <v>26</v>
      </c>
      <c r="D131" s="60"/>
      <c r="E131" s="22"/>
      <c r="F131" s="9"/>
      <c r="G131" s="41"/>
      <c r="H131" s="8"/>
      <c r="I131" s="8"/>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row>
    <row r="132" spans="1:114" s="46" customFormat="1" ht="16.5" customHeight="1" hidden="1">
      <c r="A132" s="153" t="s">
        <v>15</v>
      </c>
      <c r="B132" s="22">
        <f>SUM(B129:B131)</f>
        <v>3463</v>
      </c>
      <c r="C132" s="2"/>
      <c r="D132" s="23"/>
      <c r="E132" s="22"/>
      <c r="F132" s="9"/>
      <c r="G132" s="41"/>
      <c r="H132" s="8"/>
      <c r="I132" s="8"/>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row>
    <row r="133" spans="1:114" s="46" customFormat="1" ht="17.25" customHeight="1" hidden="1">
      <c r="A133" s="164" t="s">
        <v>23</v>
      </c>
      <c r="B133" s="63">
        <v>60</v>
      </c>
      <c r="C133" s="152" t="s">
        <v>33</v>
      </c>
      <c r="D133" s="63">
        <v>149639.87</v>
      </c>
      <c r="E133" s="85" t="s">
        <v>32</v>
      </c>
      <c r="F133" s="6"/>
      <c r="G133" s="41"/>
      <c r="H133" s="61"/>
      <c r="I133" s="8"/>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row>
    <row r="134" spans="1:114" s="46" customFormat="1" ht="17.25" customHeight="1" hidden="1">
      <c r="A134" s="164" t="s">
        <v>23</v>
      </c>
      <c r="B134" s="63">
        <v>3951.33</v>
      </c>
      <c r="C134" s="152" t="s">
        <v>34</v>
      </c>
      <c r="D134" s="63"/>
      <c r="E134" s="85"/>
      <c r="F134" s="6"/>
      <c r="G134" s="41"/>
      <c r="H134" s="61"/>
      <c r="I134" s="8"/>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row>
    <row r="135" spans="1:114" s="46" customFormat="1" ht="24" customHeight="1">
      <c r="A135" s="254" t="s">
        <v>27</v>
      </c>
      <c r="B135" s="278">
        <f>360+324</f>
        <v>684</v>
      </c>
      <c r="C135" s="156" t="s">
        <v>81</v>
      </c>
      <c r="D135" s="144">
        <v>673.92</v>
      </c>
      <c r="E135" s="105" t="s">
        <v>91</v>
      </c>
      <c r="F135" s="115"/>
      <c r="G135" s="119"/>
      <c r="H135" s="61"/>
      <c r="I135" s="8"/>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row>
    <row r="136" spans="1:114" s="46" customFormat="1" ht="20.25" customHeight="1">
      <c r="A136" s="260"/>
      <c r="B136" s="279"/>
      <c r="C136" s="128" t="s">
        <v>81</v>
      </c>
      <c r="D136" s="109">
        <v>1280.45</v>
      </c>
      <c r="E136" s="59" t="s">
        <v>92</v>
      </c>
      <c r="F136" s="115"/>
      <c r="G136" s="119"/>
      <c r="H136" s="61"/>
      <c r="I136" s="8"/>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row>
    <row r="137" spans="1:114" s="46" customFormat="1" ht="133.5" customHeight="1">
      <c r="A137" s="260"/>
      <c r="B137" s="279"/>
      <c r="C137" s="128" t="s">
        <v>273</v>
      </c>
      <c r="D137" s="109">
        <f>489343.04+24712.06</f>
        <v>514055.1</v>
      </c>
      <c r="E137" s="105" t="s">
        <v>87</v>
      </c>
      <c r="F137" s="115"/>
      <c r="G137" s="119"/>
      <c r="H137" s="61"/>
      <c r="I137" s="8"/>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row>
    <row r="138" spans="1:9" ht="29.25" customHeight="1">
      <c r="A138" s="260"/>
      <c r="B138" s="279"/>
      <c r="C138" s="156" t="s">
        <v>138</v>
      </c>
      <c r="D138" s="109">
        <f>1898+160+60</f>
        <v>2118</v>
      </c>
      <c r="E138" s="122" t="s">
        <v>108</v>
      </c>
      <c r="F138" s="281"/>
      <c r="G138" s="268"/>
      <c r="H138" s="57"/>
      <c r="I138" s="14"/>
    </row>
    <row r="139" spans="1:9" ht="27.75" customHeight="1">
      <c r="A139" s="260"/>
      <c r="B139" s="279"/>
      <c r="C139" s="156" t="s">
        <v>254</v>
      </c>
      <c r="D139" s="109">
        <f>5490+5083.23</f>
        <v>10573.23</v>
      </c>
      <c r="E139" s="122" t="s">
        <v>198</v>
      </c>
      <c r="F139" s="282"/>
      <c r="G139" s="271"/>
      <c r="H139" s="57"/>
      <c r="I139" s="104"/>
    </row>
    <row r="140" spans="1:9" ht="27.75" customHeight="1">
      <c r="A140" s="260"/>
      <c r="B140" s="279"/>
      <c r="C140" s="21" t="s">
        <v>85</v>
      </c>
      <c r="D140" s="60">
        <v>55156.5</v>
      </c>
      <c r="E140" s="125" t="s">
        <v>86</v>
      </c>
      <c r="F140" s="282"/>
      <c r="G140" s="271"/>
      <c r="H140" s="57"/>
      <c r="I140" s="104"/>
    </row>
    <row r="141" spans="1:9" ht="20.25" customHeight="1">
      <c r="A141" s="260"/>
      <c r="B141" s="279"/>
      <c r="C141" s="156" t="s">
        <v>192</v>
      </c>
      <c r="D141" s="109"/>
      <c r="E141" s="109"/>
      <c r="F141" s="283"/>
      <c r="G141" s="269"/>
      <c r="H141" s="57"/>
      <c r="I141" s="104"/>
    </row>
    <row r="142" spans="1:114" s="46" customFormat="1" ht="19.5" customHeight="1">
      <c r="A142" s="153" t="s">
        <v>15</v>
      </c>
      <c r="B142" s="52">
        <f>SUM(B135:B135)</f>
        <v>684</v>
      </c>
      <c r="C142" s="158"/>
      <c r="D142" s="22">
        <f>SUM(D135:D141)</f>
        <v>583857.2</v>
      </c>
      <c r="E142" s="23"/>
      <c r="F142" s="10">
        <f>F138</f>
        <v>0</v>
      </c>
      <c r="G142" s="41"/>
      <c r="H142" s="8">
        <f>SUM(H138:H141)</f>
        <v>0</v>
      </c>
      <c r="I142" s="33"/>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row>
    <row r="143" spans="1:114" s="46" customFormat="1" ht="123.75" customHeight="1">
      <c r="A143" s="254" t="s">
        <v>74</v>
      </c>
      <c r="B143" s="278"/>
      <c r="C143" s="173" t="s">
        <v>274</v>
      </c>
      <c r="D143" s="60">
        <f>76877.13+12728+27268.48</f>
        <v>116873.61</v>
      </c>
      <c r="E143" s="105" t="s">
        <v>87</v>
      </c>
      <c r="F143" s="281"/>
      <c r="G143" s="268"/>
      <c r="H143" s="57"/>
      <c r="I143" s="14"/>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row>
    <row r="144" spans="1:114" s="46" customFormat="1" ht="92.25" customHeight="1">
      <c r="A144" s="260"/>
      <c r="B144" s="279"/>
      <c r="C144" s="173" t="s">
        <v>276</v>
      </c>
      <c r="D144" s="60">
        <v>352163.3</v>
      </c>
      <c r="E144" s="105" t="s">
        <v>275</v>
      </c>
      <c r="F144" s="282"/>
      <c r="G144" s="271"/>
      <c r="H144" s="57"/>
      <c r="I144" s="14"/>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row>
    <row r="145" spans="1:9" ht="29.25" customHeight="1">
      <c r="A145" s="255"/>
      <c r="B145" s="280"/>
      <c r="C145" s="173" t="s">
        <v>254</v>
      </c>
      <c r="D145" s="60">
        <f>3416+5083.23</f>
        <v>8499.23</v>
      </c>
      <c r="E145" s="122" t="s">
        <v>198</v>
      </c>
      <c r="F145" s="283"/>
      <c r="G145" s="269"/>
      <c r="H145" s="60"/>
      <c r="I145" s="94"/>
    </row>
    <row r="146" spans="1:114" s="46" customFormat="1" ht="25.5" customHeight="1">
      <c r="A146" s="153" t="s">
        <v>15</v>
      </c>
      <c r="B146" s="39">
        <f>SUM(B143:B143)</f>
        <v>0</v>
      </c>
      <c r="C146" s="3"/>
      <c r="D146" s="22">
        <f>SUM(D143:D145)</f>
        <v>477536.13999999996</v>
      </c>
      <c r="E146" s="23"/>
      <c r="F146" s="10">
        <f>F143</f>
        <v>0</v>
      </c>
      <c r="G146" s="41"/>
      <c r="H146" s="8">
        <f>SUM(H143:H145)</f>
        <v>0</v>
      </c>
      <c r="I146" s="33"/>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row>
    <row r="147" spans="1:114" s="46" customFormat="1" ht="18.75" customHeight="1">
      <c r="A147" s="254" t="s">
        <v>75</v>
      </c>
      <c r="B147" s="278">
        <v>120</v>
      </c>
      <c r="C147" s="156" t="s">
        <v>81</v>
      </c>
      <c r="D147" s="144">
        <v>1305.72</v>
      </c>
      <c r="E147" s="105" t="s">
        <v>91</v>
      </c>
      <c r="F147" s="281"/>
      <c r="G147" s="268"/>
      <c r="H147" s="57"/>
      <c r="I147" s="14"/>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row>
    <row r="148" spans="1:114" s="46" customFormat="1" ht="18.75" customHeight="1">
      <c r="A148" s="260"/>
      <c r="B148" s="279"/>
      <c r="C148" s="128" t="s">
        <v>81</v>
      </c>
      <c r="D148" s="109">
        <v>1280.45</v>
      </c>
      <c r="E148" s="59" t="s">
        <v>92</v>
      </c>
      <c r="F148" s="282"/>
      <c r="G148" s="271"/>
      <c r="H148" s="57"/>
      <c r="I148" s="14"/>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row>
    <row r="149" spans="1:114" s="46" customFormat="1" ht="150" customHeight="1">
      <c r="A149" s="260"/>
      <c r="B149" s="279"/>
      <c r="C149" s="137" t="s">
        <v>277</v>
      </c>
      <c r="D149" s="109">
        <f>546886.52+1023.96+17042.8+3964.95</f>
        <v>568918.23</v>
      </c>
      <c r="E149" s="105" t="s">
        <v>87</v>
      </c>
      <c r="F149" s="282"/>
      <c r="G149" s="271"/>
      <c r="H149" s="57"/>
      <c r="I149" s="14"/>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row>
    <row r="150" spans="1:114" s="46" customFormat="1" ht="39.75" customHeight="1">
      <c r="A150" s="260"/>
      <c r="B150" s="279"/>
      <c r="C150" s="137" t="s">
        <v>239</v>
      </c>
      <c r="D150" s="109">
        <v>1952390.8</v>
      </c>
      <c r="E150" s="105" t="s">
        <v>240</v>
      </c>
      <c r="F150" s="282"/>
      <c r="G150" s="271"/>
      <c r="H150" s="57"/>
      <c r="I150" s="14"/>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row>
    <row r="151" spans="1:114" s="46" customFormat="1" ht="33.75" customHeight="1">
      <c r="A151" s="260"/>
      <c r="B151" s="279"/>
      <c r="C151" s="137" t="s">
        <v>156</v>
      </c>
      <c r="D151" s="109">
        <f>480+100</f>
        <v>580</v>
      </c>
      <c r="E151" s="138" t="s">
        <v>108</v>
      </c>
      <c r="F151" s="282"/>
      <c r="G151" s="271"/>
      <c r="H151" s="57"/>
      <c r="I151" s="14"/>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row>
    <row r="152" spans="1:114" s="46" customFormat="1" ht="25.5" customHeight="1">
      <c r="A152" s="260"/>
      <c r="B152" s="279"/>
      <c r="C152" s="21" t="s">
        <v>85</v>
      </c>
      <c r="D152" s="60">
        <v>27578.25</v>
      </c>
      <c r="E152" s="125" t="s">
        <v>86</v>
      </c>
      <c r="F152" s="282"/>
      <c r="G152" s="271"/>
      <c r="H152" s="57"/>
      <c r="I152" s="14"/>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row>
    <row r="153" spans="1:114" s="46" customFormat="1" ht="19.5" customHeight="1">
      <c r="A153" s="260"/>
      <c r="B153" s="279"/>
      <c r="C153" s="156" t="s">
        <v>193</v>
      </c>
      <c r="D153" s="122"/>
      <c r="E153" s="105"/>
      <c r="F153" s="282"/>
      <c r="G153" s="271"/>
      <c r="H153" s="57"/>
      <c r="I153" s="14"/>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row>
    <row r="154" spans="1:9" ht="33" customHeight="1">
      <c r="A154" s="255"/>
      <c r="B154" s="280"/>
      <c r="C154" s="177" t="s">
        <v>254</v>
      </c>
      <c r="D154" s="122">
        <f>7930+5083.23</f>
        <v>13013.23</v>
      </c>
      <c r="E154" s="105" t="s">
        <v>198</v>
      </c>
      <c r="F154" s="283"/>
      <c r="G154" s="269"/>
      <c r="H154" s="57"/>
      <c r="I154" s="14"/>
    </row>
    <row r="155" spans="1:114" s="46" customFormat="1" ht="20.25" customHeight="1">
      <c r="A155" s="153" t="s">
        <v>15</v>
      </c>
      <c r="B155" s="39">
        <f>SUM(B147:B154)</f>
        <v>120</v>
      </c>
      <c r="C155" s="3"/>
      <c r="D155" s="22">
        <f>SUM(D147:D154)</f>
        <v>2565066.68</v>
      </c>
      <c r="E155" s="23"/>
      <c r="F155" s="10">
        <f>F147</f>
        <v>0</v>
      </c>
      <c r="G155" s="41"/>
      <c r="H155" s="8">
        <f>SUM(H147:H154)</f>
        <v>0</v>
      </c>
      <c r="I155" s="33"/>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row>
    <row r="156" spans="1:114" s="46" customFormat="1" ht="23.25" customHeight="1" hidden="1">
      <c r="A156" s="254" t="s">
        <v>76</v>
      </c>
      <c r="B156" s="278">
        <f>791.2+2245.96+562+806+2178.6+1530+1121.2+14766</f>
        <v>24000.96</v>
      </c>
      <c r="C156" s="152"/>
      <c r="D156" s="59"/>
      <c r="E156" s="86"/>
      <c r="F156" s="281"/>
      <c r="G156" s="268"/>
      <c r="H156" s="8"/>
      <c r="I156" s="33"/>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row>
    <row r="157" spans="1:114" s="46" customFormat="1" ht="248.25" customHeight="1">
      <c r="A157" s="260"/>
      <c r="B157" s="279"/>
      <c r="C157" s="162" t="s">
        <v>278</v>
      </c>
      <c r="D157" s="122">
        <f>522405.61+18851.5-79120+21303.5</f>
        <v>483440.61</v>
      </c>
      <c r="E157" s="105" t="s">
        <v>87</v>
      </c>
      <c r="F157" s="282"/>
      <c r="G157" s="271"/>
      <c r="H157" s="8"/>
      <c r="I157" s="120"/>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row>
    <row r="158" spans="1:114" s="46" customFormat="1" ht="19.5" customHeight="1">
      <c r="A158" s="260"/>
      <c r="B158" s="279"/>
      <c r="C158" s="128" t="s">
        <v>279</v>
      </c>
      <c r="D158" s="109"/>
      <c r="E158" s="122"/>
      <c r="F158" s="282"/>
      <c r="G158" s="271"/>
      <c r="H158" s="8"/>
      <c r="I158" s="120"/>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row>
    <row r="159" spans="1:114" s="46" customFormat="1" ht="141.75" customHeight="1">
      <c r="A159" s="260"/>
      <c r="B159" s="279"/>
      <c r="C159" s="156" t="s">
        <v>106</v>
      </c>
      <c r="D159" s="122">
        <v>142506</v>
      </c>
      <c r="E159" s="105" t="s">
        <v>80</v>
      </c>
      <c r="F159" s="282"/>
      <c r="G159" s="271"/>
      <c r="H159" s="8"/>
      <c r="I159" s="120"/>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row>
    <row r="160" spans="1:114" s="46" customFormat="1" ht="218.25" customHeight="1">
      <c r="A160" s="260"/>
      <c r="B160" s="279"/>
      <c r="C160" s="146" t="s">
        <v>158</v>
      </c>
      <c r="D160" s="109">
        <v>402168.72</v>
      </c>
      <c r="E160" s="106" t="s">
        <v>132</v>
      </c>
      <c r="F160" s="282"/>
      <c r="G160" s="271"/>
      <c r="H160" s="8"/>
      <c r="I160" s="120"/>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row>
    <row r="161" spans="1:114" s="46" customFormat="1" ht="41.25" customHeight="1">
      <c r="A161" s="260"/>
      <c r="B161" s="279"/>
      <c r="C161" s="156" t="s">
        <v>157</v>
      </c>
      <c r="D161" s="122">
        <f>750+240+6175</f>
        <v>7165</v>
      </c>
      <c r="E161" s="105" t="s">
        <v>108</v>
      </c>
      <c r="F161" s="282"/>
      <c r="G161" s="271"/>
      <c r="H161" s="8"/>
      <c r="I161" s="120"/>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row>
    <row r="162" spans="1:114" s="46" customFormat="1" ht="47.25" customHeight="1">
      <c r="A162" s="260"/>
      <c r="B162" s="279"/>
      <c r="C162" s="165" t="s">
        <v>160</v>
      </c>
      <c r="D162" s="122">
        <v>245480.54</v>
      </c>
      <c r="E162" s="172" t="s">
        <v>159</v>
      </c>
      <c r="F162" s="282"/>
      <c r="G162" s="271"/>
      <c r="H162" s="8"/>
      <c r="I162" s="120"/>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row>
    <row r="163" spans="1:114" s="46" customFormat="1" ht="24.75" customHeight="1">
      <c r="A163" s="260"/>
      <c r="B163" s="279"/>
      <c r="C163" s="165" t="s">
        <v>113</v>
      </c>
      <c r="D163" s="109">
        <f>1082.18</f>
        <v>1082.18</v>
      </c>
      <c r="E163" s="122" t="s">
        <v>112</v>
      </c>
      <c r="F163" s="282"/>
      <c r="G163" s="271"/>
      <c r="H163" s="8"/>
      <c r="I163" s="120"/>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row>
    <row r="164" spans="1:114" s="46" customFormat="1" ht="33" customHeight="1">
      <c r="A164" s="260"/>
      <c r="B164" s="279"/>
      <c r="C164" s="165" t="s">
        <v>254</v>
      </c>
      <c r="D164" s="109">
        <f>6710+5083.23</f>
        <v>11793.23</v>
      </c>
      <c r="E164" s="122" t="s">
        <v>198</v>
      </c>
      <c r="F164" s="282"/>
      <c r="G164" s="271"/>
      <c r="H164" s="8"/>
      <c r="I164" s="120"/>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row>
    <row r="165" spans="1:114" s="46" customFormat="1" ht="122.25" customHeight="1">
      <c r="A165" s="260"/>
      <c r="B165" s="279"/>
      <c r="C165" s="165" t="s">
        <v>173</v>
      </c>
      <c r="D165" s="109">
        <f>87150+800+75472.25+29277.9+96513.89+106300</f>
        <v>395514.04</v>
      </c>
      <c r="E165" s="122" t="s">
        <v>110</v>
      </c>
      <c r="F165" s="282"/>
      <c r="G165" s="271"/>
      <c r="H165" s="8"/>
      <c r="I165" s="120"/>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row>
    <row r="166" spans="1:114" s="46" customFormat="1" ht="24" customHeight="1">
      <c r="A166" s="153" t="s">
        <v>15</v>
      </c>
      <c r="B166" s="52">
        <f>SUM(B156:B156)</f>
        <v>24000.96</v>
      </c>
      <c r="C166" s="152"/>
      <c r="D166" s="22">
        <f>SUM(D157:D165)</f>
        <v>1689150.3199999998</v>
      </c>
      <c r="E166" s="60"/>
      <c r="F166" s="10">
        <f>F156</f>
        <v>0</v>
      </c>
      <c r="G166" s="41"/>
      <c r="H166" s="50">
        <f>SUM(H156:H165)</f>
        <v>0</v>
      </c>
      <c r="I166" s="33"/>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row>
    <row r="167" spans="1:114" s="46" customFormat="1" ht="29.25" customHeight="1">
      <c r="A167" s="277" t="s">
        <v>37</v>
      </c>
      <c r="B167" s="278">
        <v>7880</v>
      </c>
      <c r="C167" s="156" t="s">
        <v>81</v>
      </c>
      <c r="D167" s="144">
        <v>1305.72</v>
      </c>
      <c r="E167" s="105" t="s">
        <v>91</v>
      </c>
      <c r="F167" s="266"/>
      <c r="G167" s="268"/>
      <c r="H167" s="57"/>
      <c r="I167" s="14"/>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row>
    <row r="168" spans="1:114" s="46" customFormat="1" ht="20.25" customHeight="1">
      <c r="A168" s="277"/>
      <c r="B168" s="279"/>
      <c r="C168" s="128" t="s">
        <v>81</v>
      </c>
      <c r="D168" s="109">
        <v>1280.45</v>
      </c>
      <c r="E168" s="59" t="s">
        <v>92</v>
      </c>
      <c r="F168" s="270"/>
      <c r="G168" s="271"/>
      <c r="H168" s="57"/>
      <c r="I168" s="14"/>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row>
    <row r="169" spans="1:114" s="46" customFormat="1" ht="137.25" customHeight="1">
      <c r="A169" s="277"/>
      <c r="B169" s="279"/>
      <c r="C169" s="165" t="s">
        <v>280</v>
      </c>
      <c r="D169" s="122">
        <f>270761.54+33233.46</f>
        <v>303995</v>
      </c>
      <c r="E169" s="105" t="s">
        <v>87</v>
      </c>
      <c r="F169" s="270"/>
      <c r="G169" s="271"/>
      <c r="H169" s="57"/>
      <c r="I169" s="14"/>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row>
    <row r="170" spans="1:114" s="46" customFormat="1" ht="35.25" customHeight="1">
      <c r="A170" s="277"/>
      <c r="B170" s="279"/>
      <c r="C170" s="165" t="s">
        <v>250</v>
      </c>
      <c r="D170" s="122"/>
      <c r="E170" s="105"/>
      <c r="F170" s="270"/>
      <c r="G170" s="271"/>
      <c r="H170" s="57"/>
      <c r="I170" s="14"/>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row>
    <row r="171" spans="1:114" s="46" customFormat="1" ht="25.5" customHeight="1">
      <c r="A171" s="277"/>
      <c r="B171" s="279"/>
      <c r="C171" s="21" t="s">
        <v>85</v>
      </c>
      <c r="D171" s="60">
        <v>18385.5</v>
      </c>
      <c r="E171" s="125" t="s">
        <v>86</v>
      </c>
      <c r="F171" s="270"/>
      <c r="G171" s="271"/>
      <c r="H171" s="57"/>
      <c r="I171" s="14"/>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row>
    <row r="172" spans="1:114" s="46" customFormat="1" ht="27" customHeight="1">
      <c r="A172" s="277"/>
      <c r="B172" s="279"/>
      <c r="C172" s="156" t="s">
        <v>120</v>
      </c>
      <c r="D172" s="122">
        <v>240</v>
      </c>
      <c r="E172" s="105" t="s">
        <v>108</v>
      </c>
      <c r="F172" s="270"/>
      <c r="G172" s="271"/>
      <c r="H172" s="57"/>
      <c r="I172" s="14"/>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row>
    <row r="173" spans="1:114" s="46" customFormat="1" ht="30.75" customHeight="1">
      <c r="A173" s="277"/>
      <c r="B173" s="280"/>
      <c r="C173" s="128" t="s">
        <v>254</v>
      </c>
      <c r="D173" s="109">
        <f>6710+5083.23</f>
        <v>11793.23</v>
      </c>
      <c r="E173" s="122" t="s">
        <v>198</v>
      </c>
      <c r="F173" s="267"/>
      <c r="G173" s="269"/>
      <c r="H173" s="61"/>
      <c r="I173" s="8"/>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row>
    <row r="174" spans="1:114" s="46" customFormat="1" ht="19.5" customHeight="1">
      <c r="A174" s="153" t="s">
        <v>15</v>
      </c>
      <c r="B174" s="64">
        <f>B167</f>
        <v>7880</v>
      </c>
      <c r="C174" s="2"/>
      <c r="D174" s="64">
        <f>SUM(D167:D173)</f>
        <v>336999.89999999997</v>
      </c>
      <c r="E174" s="22"/>
      <c r="F174" s="9">
        <f>F167</f>
        <v>0</v>
      </c>
      <c r="G174" s="41"/>
      <c r="H174" s="8">
        <f>SUM(H167:H173)</f>
        <v>0</v>
      </c>
      <c r="I174" s="8"/>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row>
    <row r="175" spans="1:114" s="46" customFormat="1" ht="154.5" customHeight="1">
      <c r="A175" s="254" t="s">
        <v>53</v>
      </c>
      <c r="B175" s="261">
        <v>138</v>
      </c>
      <c r="C175" s="156" t="s">
        <v>281</v>
      </c>
      <c r="D175" s="122">
        <f>319625.29+17042.8</f>
        <v>336668.08999999997</v>
      </c>
      <c r="E175" s="105" t="s">
        <v>87</v>
      </c>
      <c r="F175" s="266"/>
      <c r="G175" s="268"/>
      <c r="H175" s="8"/>
      <c r="I175" s="8"/>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row>
    <row r="176" spans="1:114" s="46" customFormat="1" ht="58.5" customHeight="1">
      <c r="A176" s="260"/>
      <c r="B176" s="262"/>
      <c r="C176" s="158" t="s">
        <v>161</v>
      </c>
      <c r="D176" s="122">
        <f>7740+6552+420</f>
        <v>14712</v>
      </c>
      <c r="E176" s="122" t="s">
        <v>108</v>
      </c>
      <c r="F176" s="270"/>
      <c r="G176" s="271"/>
      <c r="H176" s="8"/>
      <c r="I176" s="8"/>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row>
    <row r="177" spans="1:114" s="46" customFormat="1" ht="19.5" customHeight="1">
      <c r="A177" s="260"/>
      <c r="B177" s="262"/>
      <c r="C177" s="158" t="s">
        <v>194</v>
      </c>
      <c r="D177" s="122"/>
      <c r="E177" s="138"/>
      <c r="F177" s="270"/>
      <c r="G177" s="271"/>
      <c r="H177" s="8"/>
      <c r="I177" s="8"/>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row>
    <row r="178" spans="1:114" s="46" customFormat="1" ht="19.5" customHeight="1">
      <c r="A178" s="260"/>
      <c r="B178" s="262"/>
      <c r="C178" s="21" t="s">
        <v>85</v>
      </c>
      <c r="D178" s="60">
        <v>18385.5</v>
      </c>
      <c r="E178" s="125" t="s">
        <v>86</v>
      </c>
      <c r="F178" s="270"/>
      <c r="G178" s="271"/>
      <c r="H178" s="8"/>
      <c r="I178" s="8"/>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row>
    <row r="179" spans="1:114" s="46" customFormat="1" ht="27" customHeight="1">
      <c r="A179" s="260"/>
      <c r="B179" s="262"/>
      <c r="C179" s="158" t="s">
        <v>254</v>
      </c>
      <c r="D179" s="122">
        <f>2440+5083.23</f>
        <v>7523.23</v>
      </c>
      <c r="E179" s="138" t="s">
        <v>198</v>
      </c>
      <c r="F179" s="270"/>
      <c r="G179" s="271"/>
      <c r="H179" s="8"/>
      <c r="I179" s="8"/>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row>
    <row r="180" spans="1:114" s="46" customFormat="1" ht="19.5" customHeight="1">
      <c r="A180" s="260"/>
      <c r="B180" s="262"/>
      <c r="C180" s="158" t="s">
        <v>134</v>
      </c>
      <c r="D180" s="122">
        <v>4320</v>
      </c>
      <c r="E180" s="106" t="s">
        <v>141</v>
      </c>
      <c r="F180" s="267"/>
      <c r="G180" s="269"/>
      <c r="H180" s="61"/>
      <c r="I180" s="8"/>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row>
    <row r="181" spans="1:114" s="46" customFormat="1" ht="21" customHeight="1">
      <c r="A181" s="153" t="s">
        <v>15</v>
      </c>
      <c r="B181" s="64">
        <f>SUM(B175)</f>
        <v>138</v>
      </c>
      <c r="C181" s="2"/>
      <c r="D181" s="64">
        <f>SUM(D175:D180)</f>
        <v>381608.81999999995</v>
      </c>
      <c r="E181" s="22"/>
      <c r="F181" s="9">
        <f>F175</f>
        <v>0</v>
      </c>
      <c r="G181" s="41"/>
      <c r="H181" s="8">
        <f>SUM(H175:H180)</f>
        <v>0</v>
      </c>
      <c r="I181" s="8"/>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row>
    <row r="182" spans="1:114" s="46" customFormat="1" ht="33.75" customHeight="1">
      <c r="A182" s="254" t="s">
        <v>77</v>
      </c>
      <c r="B182" s="261"/>
      <c r="C182" s="152" t="s">
        <v>223</v>
      </c>
      <c r="D182" s="59">
        <v>643552.58</v>
      </c>
      <c r="E182" s="105" t="s">
        <v>87</v>
      </c>
      <c r="F182" s="9"/>
      <c r="G182" s="41"/>
      <c r="H182" s="8"/>
      <c r="I182" s="8"/>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row>
    <row r="183" spans="1:114" s="46" customFormat="1" ht="27.75" customHeight="1">
      <c r="A183" s="255"/>
      <c r="B183" s="265"/>
      <c r="C183" s="166" t="s">
        <v>254</v>
      </c>
      <c r="D183" s="148">
        <f>5490+5083.23</f>
        <v>10573.23</v>
      </c>
      <c r="E183" s="109" t="s">
        <v>198</v>
      </c>
      <c r="F183" s="170"/>
      <c r="G183" s="110"/>
      <c r="H183" s="8"/>
      <c r="I183" s="8"/>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row>
    <row r="184" spans="1:114" s="46" customFormat="1" ht="19.5" customHeight="1">
      <c r="A184" s="153" t="s">
        <v>15</v>
      </c>
      <c r="B184" s="22">
        <f>SUM(B182)</f>
        <v>0</v>
      </c>
      <c r="C184" s="2"/>
      <c r="D184" s="23">
        <f>SUM(D182:D183)</f>
        <v>654125.8099999999</v>
      </c>
      <c r="E184" s="103"/>
      <c r="F184" s="9"/>
      <c r="G184" s="41"/>
      <c r="H184" s="8">
        <f>SUM(H183:H183)</f>
        <v>0</v>
      </c>
      <c r="I184" s="8"/>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row>
    <row r="185" spans="1:114" s="46" customFormat="1" ht="78" customHeight="1">
      <c r="A185" s="254" t="s">
        <v>38</v>
      </c>
      <c r="B185" s="261"/>
      <c r="C185" s="156" t="s">
        <v>282</v>
      </c>
      <c r="D185" s="59">
        <f>251683.58+10966.8+1023.96+29824.9+3964.95</f>
        <v>297464.19000000006</v>
      </c>
      <c r="E185" s="105" t="s">
        <v>87</v>
      </c>
      <c r="F185" s="266"/>
      <c r="G185" s="268"/>
      <c r="H185" s="57"/>
      <c r="I185" s="14"/>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row>
    <row r="186" spans="1:114" s="46" customFormat="1" ht="24.75" customHeight="1">
      <c r="A186" s="260"/>
      <c r="B186" s="262"/>
      <c r="C186" s="21" t="s">
        <v>85</v>
      </c>
      <c r="D186" s="60">
        <v>9192.75</v>
      </c>
      <c r="E186" s="125" t="s">
        <v>86</v>
      </c>
      <c r="F186" s="270"/>
      <c r="G186" s="271"/>
      <c r="H186" s="57"/>
      <c r="I186" s="14"/>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row>
    <row r="187" spans="1:114" s="46" customFormat="1" ht="36" customHeight="1">
      <c r="A187" s="255"/>
      <c r="B187" s="265"/>
      <c r="C187" s="152" t="s">
        <v>254</v>
      </c>
      <c r="D187" s="82">
        <f>6710+5083.23</f>
        <v>11793.23</v>
      </c>
      <c r="E187" s="122" t="s">
        <v>198</v>
      </c>
      <c r="F187" s="267"/>
      <c r="G187" s="269"/>
      <c r="H187" s="8"/>
      <c r="I187" s="8"/>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row>
    <row r="188" spans="1:114" s="46" customFormat="1" ht="19.5" customHeight="1">
      <c r="A188" s="153" t="s">
        <v>15</v>
      </c>
      <c r="B188" s="22">
        <f>B185</f>
        <v>0</v>
      </c>
      <c r="C188" s="2"/>
      <c r="D188" s="23">
        <f>SUM(D185:D187)</f>
        <v>318450.17000000004</v>
      </c>
      <c r="E188" s="59"/>
      <c r="F188" s="9">
        <f>F185</f>
        <v>0</v>
      </c>
      <c r="G188" s="41"/>
      <c r="H188" s="8">
        <f>SUM(H185:H187)</f>
        <v>0</v>
      </c>
      <c r="I188" s="8"/>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row>
    <row r="189" spans="1:114" s="46" customFormat="1" ht="137.25" customHeight="1">
      <c r="A189" s="254" t="s">
        <v>56</v>
      </c>
      <c r="B189" s="261">
        <f>150+63.25</f>
        <v>213.25</v>
      </c>
      <c r="C189" s="128" t="s">
        <v>283</v>
      </c>
      <c r="D189" s="60">
        <f>236102.05+21053+5964.98</f>
        <v>263120.02999999997</v>
      </c>
      <c r="E189" s="105" t="s">
        <v>87</v>
      </c>
      <c r="F189" s="266"/>
      <c r="G189" s="274"/>
      <c r="H189" s="57"/>
      <c r="I189" s="14"/>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row>
    <row r="190" spans="1:114" s="46" customFormat="1" ht="19.5" customHeight="1">
      <c r="A190" s="260"/>
      <c r="B190" s="262"/>
      <c r="C190" s="149" t="s">
        <v>118</v>
      </c>
      <c r="D190" s="60"/>
      <c r="E190" s="105"/>
      <c r="F190" s="270"/>
      <c r="G190" s="275"/>
      <c r="H190" s="57"/>
      <c r="I190" s="14"/>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row>
    <row r="191" spans="1:114" s="46" customFormat="1" ht="19.5" customHeight="1">
      <c r="A191" s="260"/>
      <c r="B191" s="262"/>
      <c r="C191" s="21" t="s">
        <v>85</v>
      </c>
      <c r="D191" s="60">
        <v>27578.25</v>
      </c>
      <c r="E191" s="125" t="s">
        <v>86</v>
      </c>
      <c r="F191" s="270"/>
      <c r="G191" s="275"/>
      <c r="H191" s="57"/>
      <c r="I191" s="14"/>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row>
    <row r="192" spans="1:114" s="46" customFormat="1" ht="33.75" customHeight="1">
      <c r="A192" s="260"/>
      <c r="B192" s="262"/>
      <c r="C192" s="149" t="s">
        <v>254</v>
      </c>
      <c r="D192" s="60">
        <f>1220+5083.23</f>
        <v>6303.23</v>
      </c>
      <c r="E192" s="105" t="s">
        <v>198</v>
      </c>
      <c r="F192" s="270"/>
      <c r="G192" s="275"/>
      <c r="H192" s="57"/>
      <c r="I192" s="14"/>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row>
    <row r="193" spans="1:114" s="46" customFormat="1" ht="39.75" customHeight="1">
      <c r="A193" s="260"/>
      <c r="B193" s="262"/>
      <c r="C193" s="149" t="s">
        <v>176</v>
      </c>
      <c r="D193" s="60">
        <f>1314+4080+432</f>
        <v>5826</v>
      </c>
      <c r="E193" s="105" t="s">
        <v>175</v>
      </c>
      <c r="F193" s="270"/>
      <c r="G193" s="275"/>
      <c r="H193" s="57"/>
      <c r="I193" s="14"/>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row>
    <row r="194" spans="1:114" s="46" customFormat="1" ht="53.25" customHeight="1">
      <c r="A194" s="255"/>
      <c r="B194" s="265"/>
      <c r="C194" s="114" t="s">
        <v>162</v>
      </c>
      <c r="D194" s="82">
        <f>7740+6242</f>
        <v>13982</v>
      </c>
      <c r="E194" s="59" t="s">
        <v>131</v>
      </c>
      <c r="F194" s="267"/>
      <c r="G194" s="276"/>
      <c r="H194" s="8"/>
      <c r="I194" s="8"/>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row>
    <row r="195" spans="1:114" s="46" customFormat="1" ht="21.75" customHeight="1">
      <c r="A195" s="153" t="s">
        <v>15</v>
      </c>
      <c r="B195" s="22">
        <f>B189</f>
        <v>213.25</v>
      </c>
      <c r="C195" s="2"/>
      <c r="D195" s="23">
        <f>SUM(D189:D194)</f>
        <v>316809.50999999995</v>
      </c>
      <c r="E195" s="59"/>
      <c r="F195" s="9">
        <f>F189</f>
        <v>0</v>
      </c>
      <c r="G195" s="41"/>
      <c r="H195" s="8">
        <f>SUM(H189:H194)</f>
        <v>0</v>
      </c>
      <c r="I195" s="8"/>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row>
    <row r="196" spans="1:114" s="46" customFormat="1" ht="21" customHeight="1">
      <c r="A196" s="254" t="s">
        <v>78</v>
      </c>
      <c r="B196" s="261"/>
      <c r="C196" s="156" t="s">
        <v>81</v>
      </c>
      <c r="D196" s="144">
        <v>673.92</v>
      </c>
      <c r="E196" s="105" t="s">
        <v>91</v>
      </c>
      <c r="F196" s="126"/>
      <c r="G196" s="119"/>
      <c r="H196" s="8"/>
      <c r="I196" s="8"/>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row>
    <row r="197" spans="1:114" s="46" customFormat="1" ht="24.75" customHeight="1">
      <c r="A197" s="260"/>
      <c r="B197" s="262"/>
      <c r="C197" s="128" t="s">
        <v>81</v>
      </c>
      <c r="D197" s="109">
        <v>2560.9</v>
      </c>
      <c r="E197" s="59" t="s">
        <v>92</v>
      </c>
      <c r="F197" s="126"/>
      <c r="G197" s="119"/>
      <c r="H197" s="8"/>
      <c r="I197" s="8"/>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row>
    <row r="198" spans="1:114" s="46" customFormat="1" ht="54" customHeight="1">
      <c r="A198" s="260"/>
      <c r="B198" s="262"/>
      <c r="C198" s="136" t="s">
        <v>93</v>
      </c>
      <c r="D198" s="131">
        <v>165000</v>
      </c>
      <c r="E198" s="135" t="s">
        <v>97</v>
      </c>
      <c r="F198" s="126"/>
      <c r="G198" s="119"/>
      <c r="H198" s="8"/>
      <c r="I198" s="8"/>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row>
    <row r="199" spans="1:114" s="46" customFormat="1" ht="93.75" customHeight="1">
      <c r="A199" s="260"/>
      <c r="B199" s="262"/>
      <c r="C199" s="128" t="s">
        <v>252</v>
      </c>
      <c r="D199" s="148">
        <f>637855.98+111776</f>
        <v>749631.98</v>
      </c>
      <c r="E199" s="105" t="s">
        <v>87</v>
      </c>
      <c r="F199" s="266"/>
      <c r="G199" s="268"/>
      <c r="H199" s="59"/>
      <c r="I199" s="94"/>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row>
    <row r="200" spans="1:114" s="46" customFormat="1" ht="22.5" customHeight="1">
      <c r="A200" s="260"/>
      <c r="B200" s="262"/>
      <c r="C200" s="156" t="s">
        <v>143</v>
      </c>
      <c r="D200" s="122">
        <f>75+544</f>
        <v>619</v>
      </c>
      <c r="E200" s="105" t="s">
        <v>108</v>
      </c>
      <c r="F200" s="270"/>
      <c r="G200" s="271"/>
      <c r="H200" s="59"/>
      <c r="I200" s="94"/>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row>
    <row r="201" spans="1:114" s="46" customFormat="1" ht="25.5">
      <c r="A201" s="255"/>
      <c r="B201" s="265"/>
      <c r="C201" s="162" t="s">
        <v>254</v>
      </c>
      <c r="D201" s="122">
        <f>3172+5083.23</f>
        <v>8255.23</v>
      </c>
      <c r="E201" s="105" t="s">
        <v>198</v>
      </c>
      <c r="F201" s="267"/>
      <c r="G201" s="269"/>
      <c r="H201" s="8"/>
      <c r="I201" s="8"/>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row>
    <row r="202" spans="1:114" s="46" customFormat="1" ht="19.5" customHeight="1">
      <c r="A202" s="153" t="s">
        <v>15</v>
      </c>
      <c r="B202" s="22">
        <f>SUM(B196)</f>
        <v>0</v>
      </c>
      <c r="C202" s="2"/>
      <c r="D202" s="23">
        <f>SUM(D196:D201)</f>
        <v>926741.03</v>
      </c>
      <c r="E202" s="59"/>
      <c r="F202" s="9">
        <f>F199</f>
        <v>0</v>
      </c>
      <c r="G202" s="41"/>
      <c r="H202" s="8">
        <f>SUM(H199:H201)</f>
        <v>0</v>
      </c>
      <c r="I202" s="8"/>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row>
    <row r="203" spans="1:114" s="46" customFormat="1" ht="20.25" customHeight="1" hidden="1">
      <c r="A203" s="254" t="s">
        <v>39</v>
      </c>
      <c r="B203" s="261"/>
      <c r="C203" s="272"/>
      <c r="D203" s="83"/>
      <c r="E203" s="16"/>
      <c r="F203" s="266"/>
      <c r="G203" s="268"/>
      <c r="H203" s="57"/>
      <c r="I203" s="14"/>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row>
    <row r="204" spans="1:114" s="46" customFormat="1" ht="0.75" customHeight="1" hidden="1">
      <c r="A204" s="260"/>
      <c r="B204" s="262"/>
      <c r="C204" s="273"/>
      <c r="D204" s="88"/>
      <c r="E204" s="88"/>
      <c r="F204" s="270"/>
      <c r="G204" s="271"/>
      <c r="H204" s="8"/>
      <c r="I204" s="8"/>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row>
    <row r="205" spans="1:114" s="46" customFormat="1" ht="20.25" customHeight="1" hidden="1">
      <c r="A205" s="255"/>
      <c r="B205" s="265"/>
      <c r="C205" s="152"/>
      <c r="D205" s="59"/>
      <c r="E205" s="78"/>
      <c r="F205" s="267"/>
      <c r="G205" s="269"/>
      <c r="H205" s="8"/>
      <c r="I205" s="8"/>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row>
    <row r="206" spans="1:114" s="46" customFormat="1" ht="19.5" customHeight="1" hidden="1">
      <c r="A206" s="153" t="s">
        <v>15</v>
      </c>
      <c r="B206" s="22">
        <f>SUM(B203)</f>
        <v>0</v>
      </c>
      <c r="C206" s="2"/>
      <c r="D206" s="23">
        <f>SUM(D203:D205)</f>
        <v>0</v>
      </c>
      <c r="E206" s="59"/>
      <c r="F206" s="9">
        <f>F203</f>
        <v>0</v>
      </c>
      <c r="G206" s="41"/>
      <c r="H206" s="8">
        <f>SUM(H203:H205)</f>
        <v>0</v>
      </c>
      <c r="I206" s="8"/>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row>
    <row r="207" spans="1:114" s="46" customFormat="1" ht="27.75" customHeight="1">
      <c r="A207" s="254" t="s">
        <v>40</v>
      </c>
      <c r="B207" s="261">
        <v>120</v>
      </c>
      <c r="C207" s="156" t="s">
        <v>81</v>
      </c>
      <c r="D207" s="144">
        <v>673.92</v>
      </c>
      <c r="E207" s="105" t="s">
        <v>91</v>
      </c>
      <c r="F207" s="126"/>
      <c r="G207" s="119"/>
      <c r="H207" s="8"/>
      <c r="I207" s="8"/>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row>
    <row r="208" spans="1:114" s="46" customFormat="1" ht="24.75" customHeight="1">
      <c r="A208" s="260"/>
      <c r="B208" s="262"/>
      <c r="C208" s="128" t="s">
        <v>81</v>
      </c>
      <c r="D208" s="109">
        <v>1920.47</v>
      </c>
      <c r="E208" s="59" t="s">
        <v>92</v>
      </c>
      <c r="F208" s="126"/>
      <c r="G208" s="119"/>
      <c r="H208" s="8"/>
      <c r="I208" s="8"/>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row>
    <row r="209" spans="1:114" s="46" customFormat="1" ht="61.5" customHeight="1">
      <c r="A209" s="260"/>
      <c r="B209" s="262"/>
      <c r="C209" s="136" t="s">
        <v>93</v>
      </c>
      <c r="D209" s="131">
        <v>165000</v>
      </c>
      <c r="E209" s="135" t="s">
        <v>97</v>
      </c>
      <c r="F209" s="266"/>
      <c r="G209" s="268"/>
      <c r="H209" s="57"/>
      <c r="I209" s="14"/>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row>
    <row r="210" spans="1:114" s="46" customFormat="1" ht="99" customHeight="1">
      <c r="A210" s="260"/>
      <c r="B210" s="262"/>
      <c r="C210" s="128" t="s">
        <v>284</v>
      </c>
      <c r="D210" s="148">
        <f>461135.58+31529.18</f>
        <v>492664.76</v>
      </c>
      <c r="E210" s="105" t="s">
        <v>87</v>
      </c>
      <c r="F210" s="270"/>
      <c r="G210" s="271"/>
      <c r="H210" s="57"/>
      <c r="I210" s="14"/>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row>
    <row r="211" spans="1:114" s="46" customFormat="1" ht="25.5" customHeight="1">
      <c r="A211" s="260"/>
      <c r="B211" s="262"/>
      <c r="C211" s="21" t="s">
        <v>85</v>
      </c>
      <c r="D211" s="60">
        <v>18385.5</v>
      </c>
      <c r="E211" s="125" t="s">
        <v>86</v>
      </c>
      <c r="F211" s="270"/>
      <c r="G211" s="271"/>
      <c r="H211" s="57"/>
      <c r="I211" s="14"/>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row>
    <row r="212" spans="1:114" s="46" customFormat="1" ht="26.25" customHeight="1">
      <c r="A212" s="260"/>
      <c r="B212" s="262"/>
      <c r="C212" s="128" t="s">
        <v>254</v>
      </c>
      <c r="D212" s="148">
        <f>9760+5083.23</f>
        <v>14843.23</v>
      </c>
      <c r="E212" s="105" t="s">
        <v>198</v>
      </c>
      <c r="F212" s="270"/>
      <c r="G212" s="271"/>
      <c r="H212" s="57"/>
      <c r="I212" s="14"/>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row>
    <row r="213" spans="1:114" s="46" customFormat="1" ht="21.75" customHeight="1">
      <c r="A213" s="260"/>
      <c r="B213" s="262"/>
      <c r="C213" s="156" t="s">
        <v>81</v>
      </c>
      <c r="D213" s="122">
        <v>960</v>
      </c>
      <c r="E213" s="105" t="s">
        <v>117</v>
      </c>
      <c r="F213" s="270"/>
      <c r="G213" s="271"/>
      <c r="H213" s="57"/>
      <c r="I213" s="14"/>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row>
    <row r="214" spans="1:114" s="46" customFormat="1" ht="27" customHeight="1">
      <c r="A214" s="260"/>
      <c r="B214" s="262"/>
      <c r="C214" s="156" t="s">
        <v>155</v>
      </c>
      <c r="D214" s="131">
        <v>40</v>
      </c>
      <c r="E214" s="105" t="s">
        <v>108</v>
      </c>
      <c r="F214" s="270"/>
      <c r="G214" s="271"/>
      <c r="H214" s="57"/>
      <c r="I214" s="14"/>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row>
    <row r="215" spans="1:114" s="46" customFormat="1" ht="20.25" customHeight="1">
      <c r="A215" s="255"/>
      <c r="B215" s="265"/>
      <c r="C215" s="158" t="s">
        <v>194</v>
      </c>
      <c r="D215" s="122"/>
      <c r="E215" s="109"/>
      <c r="F215" s="267"/>
      <c r="G215" s="269"/>
      <c r="H215" s="8"/>
      <c r="I215" s="8"/>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row>
    <row r="216" spans="1:114" s="46" customFormat="1" ht="21" customHeight="1">
      <c r="A216" s="153" t="s">
        <v>15</v>
      </c>
      <c r="B216" s="22">
        <f>SUM(B207)</f>
        <v>120</v>
      </c>
      <c r="C216" s="2"/>
      <c r="D216" s="23">
        <f>SUM(D207:D215)</f>
        <v>694487.88</v>
      </c>
      <c r="E216" s="103"/>
      <c r="F216" s="9">
        <f>F209</f>
        <v>0</v>
      </c>
      <c r="G216" s="41"/>
      <c r="H216" s="8">
        <f>SUM(H209:H215)</f>
        <v>0</v>
      </c>
      <c r="I216" s="8"/>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row>
    <row r="217" spans="1:114" s="46" customFormat="1" ht="89.25" customHeight="1">
      <c r="A217" s="254" t="s">
        <v>31</v>
      </c>
      <c r="B217" s="261"/>
      <c r="C217" s="156" t="s">
        <v>285</v>
      </c>
      <c r="D217" s="59">
        <f>265899.98+3964.95+18066.76</f>
        <v>287931.69</v>
      </c>
      <c r="E217" s="105" t="s">
        <v>87</v>
      </c>
      <c r="F217" s="266"/>
      <c r="G217" s="268"/>
      <c r="H217" s="57"/>
      <c r="I217" s="14"/>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row>
    <row r="218" spans="1:114" s="46" customFormat="1" ht="27.75" customHeight="1">
      <c r="A218" s="260"/>
      <c r="B218" s="262"/>
      <c r="C218" s="21" t="s">
        <v>85</v>
      </c>
      <c r="D218" s="60">
        <v>110313</v>
      </c>
      <c r="E218" s="125" t="s">
        <v>86</v>
      </c>
      <c r="F218" s="270"/>
      <c r="G218" s="271"/>
      <c r="H218" s="57"/>
      <c r="I218" s="14"/>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row>
    <row r="219" spans="1:114" s="46" customFormat="1" ht="37.5" customHeight="1">
      <c r="A219" s="255"/>
      <c r="B219" s="265"/>
      <c r="C219" s="168" t="s">
        <v>254</v>
      </c>
      <c r="D219" s="59">
        <f>3050+5083.23</f>
        <v>8133.23</v>
      </c>
      <c r="E219" s="122" t="s">
        <v>198</v>
      </c>
      <c r="F219" s="267"/>
      <c r="G219" s="269"/>
      <c r="H219" s="8"/>
      <c r="I219" s="8"/>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row>
    <row r="220" spans="1:114" s="46" customFormat="1" ht="18.75" customHeight="1">
      <c r="A220" s="153" t="s">
        <v>15</v>
      </c>
      <c r="B220" s="22">
        <f>B217</f>
        <v>0</v>
      </c>
      <c r="C220" s="2"/>
      <c r="D220" s="23">
        <f>SUM(D217:D219)</f>
        <v>406377.92</v>
      </c>
      <c r="E220" s="22"/>
      <c r="F220" s="9">
        <f>F217</f>
        <v>0</v>
      </c>
      <c r="G220" s="41"/>
      <c r="H220" s="8">
        <f>SUM(H217:H219)</f>
        <v>0</v>
      </c>
      <c r="I220" s="8"/>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row>
    <row r="221" spans="1:114" s="46" customFormat="1" ht="135" customHeight="1">
      <c r="A221" s="254" t="s">
        <v>41</v>
      </c>
      <c r="B221" s="261">
        <f>420+26400+24</f>
        <v>26844</v>
      </c>
      <c r="C221" s="156" t="s">
        <v>286</v>
      </c>
      <c r="D221" s="59">
        <f>441879.3+29824.9</f>
        <v>471704.2</v>
      </c>
      <c r="E221" s="105" t="s">
        <v>87</v>
      </c>
      <c r="F221" s="266"/>
      <c r="G221" s="268"/>
      <c r="H221" s="8"/>
      <c r="I221" s="8"/>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row>
    <row r="222" spans="1:114" s="46" customFormat="1" ht="56.25" customHeight="1">
      <c r="A222" s="260"/>
      <c r="B222" s="262"/>
      <c r="C222" s="128" t="s">
        <v>163</v>
      </c>
      <c r="D222" s="109">
        <f>6420+8100+370</f>
        <v>14890</v>
      </c>
      <c r="E222" s="105" t="s">
        <v>108</v>
      </c>
      <c r="F222" s="270"/>
      <c r="G222" s="271"/>
      <c r="H222" s="8"/>
      <c r="I222" s="8"/>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row>
    <row r="223" spans="1:114" s="46" customFormat="1" ht="20.25" customHeight="1">
      <c r="A223" s="260"/>
      <c r="B223" s="262"/>
      <c r="C223" s="21" t="s">
        <v>85</v>
      </c>
      <c r="D223" s="60">
        <v>36771</v>
      </c>
      <c r="E223" s="125" t="s">
        <v>86</v>
      </c>
      <c r="F223" s="270"/>
      <c r="G223" s="271"/>
      <c r="H223" s="8"/>
      <c r="I223" s="8"/>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row>
    <row r="224" spans="1:114" s="46" customFormat="1" ht="19.5" customHeight="1">
      <c r="A224" s="260"/>
      <c r="B224" s="262"/>
      <c r="C224" s="165" t="s">
        <v>195</v>
      </c>
      <c r="D224" s="109"/>
      <c r="E224" s="122"/>
      <c r="F224" s="270"/>
      <c r="G224" s="271"/>
      <c r="H224" s="8"/>
      <c r="I224" s="8"/>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5"/>
      <c r="CK224" s="45"/>
      <c r="CL224" s="45"/>
      <c r="CM224" s="45"/>
      <c r="CN224" s="45"/>
      <c r="CO224" s="45"/>
      <c r="CP224" s="45"/>
      <c r="CQ224" s="45"/>
      <c r="CR224" s="45"/>
      <c r="CS224" s="45"/>
      <c r="CT224" s="45"/>
      <c r="CU224" s="45"/>
      <c r="CV224" s="45"/>
      <c r="CW224" s="45"/>
      <c r="CX224" s="45"/>
      <c r="CY224" s="45"/>
      <c r="CZ224" s="45"/>
      <c r="DA224" s="45"/>
      <c r="DB224" s="45"/>
      <c r="DC224" s="45"/>
      <c r="DD224" s="45"/>
      <c r="DE224" s="45"/>
      <c r="DF224" s="45"/>
      <c r="DG224" s="45"/>
      <c r="DH224" s="45"/>
      <c r="DI224" s="45"/>
      <c r="DJ224" s="45"/>
    </row>
    <row r="225" spans="1:114" s="46" customFormat="1" ht="30" customHeight="1">
      <c r="A225" s="255"/>
      <c r="B225" s="265"/>
      <c r="C225" s="173" t="s">
        <v>254</v>
      </c>
      <c r="D225" s="82">
        <f>4270+5083.23</f>
        <v>9353.23</v>
      </c>
      <c r="E225" s="78" t="s">
        <v>198</v>
      </c>
      <c r="F225" s="267"/>
      <c r="G225" s="269"/>
      <c r="H225" s="59"/>
      <c r="I225" s="96"/>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row>
    <row r="226" spans="1:114" s="46" customFormat="1" ht="23.25" customHeight="1">
      <c r="A226" s="153" t="s">
        <v>15</v>
      </c>
      <c r="B226" s="22">
        <f>B221</f>
        <v>26844</v>
      </c>
      <c r="C226" s="2"/>
      <c r="D226" s="23">
        <f>SUM(D221:D225)</f>
        <v>532718.43</v>
      </c>
      <c r="E226" s="103"/>
      <c r="F226" s="9">
        <f>F221</f>
        <v>0</v>
      </c>
      <c r="G226" s="41"/>
      <c r="H226" s="8">
        <f>SUM(H221:H225)</f>
        <v>0</v>
      </c>
      <c r="I226" s="8"/>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row>
    <row r="227" spans="1:114" s="46" customFormat="1" ht="22.5" customHeight="1">
      <c r="A227" s="258" t="s">
        <v>79</v>
      </c>
      <c r="B227" s="256"/>
      <c r="C227" s="21"/>
      <c r="D227" s="60"/>
      <c r="E227" s="125"/>
      <c r="F227" s="9"/>
      <c r="G227" s="41"/>
      <c r="H227" s="8"/>
      <c r="I227" s="8"/>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row>
    <row r="228" spans="1:114" s="46" customFormat="1" ht="16.5" customHeight="1">
      <c r="A228" s="263"/>
      <c r="B228" s="264"/>
      <c r="C228" s="128"/>
      <c r="D228" s="60"/>
      <c r="E228" s="178"/>
      <c r="F228" s="9"/>
      <c r="G228" s="41"/>
      <c r="H228" s="8"/>
      <c r="I228" s="8"/>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c r="CO228" s="45"/>
      <c r="CP228" s="45"/>
      <c r="CQ228" s="45"/>
      <c r="CR228" s="45"/>
      <c r="CS228" s="45"/>
      <c r="CT228" s="45"/>
      <c r="CU228" s="45"/>
      <c r="CV228" s="45"/>
      <c r="CW228" s="45"/>
      <c r="CX228" s="45"/>
      <c r="CY228" s="45"/>
      <c r="CZ228" s="45"/>
      <c r="DA228" s="45"/>
      <c r="DB228" s="45"/>
      <c r="DC228" s="45"/>
      <c r="DD228" s="45"/>
      <c r="DE228" s="45"/>
      <c r="DF228" s="45"/>
      <c r="DG228" s="45"/>
      <c r="DH228" s="45"/>
      <c r="DI228" s="45"/>
      <c r="DJ228" s="45"/>
    </row>
    <row r="229" spans="1:114" s="46" customFormat="1" ht="16.5" customHeight="1">
      <c r="A229" s="259"/>
      <c r="B229" s="257"/>
      <c r="C229" s="21"/>
      <c r="D229" s="60"/>
      <c r="E229" s="59"/>
      <c r="F229" s="12"/>
      <c r="G229" s="41"/>
      <c r="H229" s="5"/>
      <c r="I229" s="14"/>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c r="CR229" s="45"/>
      <c r="CS229" s="45"/>
      <c r="CT229" s="45"/>
      <c r="CU229" s="45"/>
      <c r="CV229" s="45"/>
      <c r="CW229" s="45"/>
      <c r="CX229" s="45"/>
      <c r="CY229" s="45"/>
      <c r="CZ229" s="45"/>
      <c r="DA229" s="45"/>
      <c r="DB229" s="45"/>
      <c r="DC229" s="45"/>
      <c r="DD229" s="45"/>
      <c r="DE229" s="45"/>
      <c r="DF229" s="45"/>
      <c r="DG229" s="45"/>
      <c r="DH229" s="45"/>
      <c r="DI229" s="45"/>
      <c r="DJ229" s="45"/>
    </row>
    <row r="230" spans="1:114" s="46" customFormat="1" ht="23.25" customHeight="1">
      <c r="A230" s="153" t="s">
        <v>15</v>
      </c>
      <c r="B230" s="22">
        <v>0</v>
      </c>
      <c r="C230" s="2"/>
      <c r="D230" s="23">
        <f>SUM(D227:D229)</f>
        <v>0</v>
      </c>
      <c r="E230" s="22"/>
      <c r="F230" s="9">
        <v>0</v>
      </c>
      <c r="G230" s="41"/>
      <c r="H230" s="50">
        <f>SUM(H229)</f>
        <v>0</v>
      </c>
      <c r="I230" s="8"/>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row>
    <row r="231" spans="1:114" s="46" customFormat="1" ht="118.5" customHeight="1">
      <c r="A231" s="254" t="s">
        <v>47</v>
      </c>
      <c r="B231" s="261">
        <v>806</v>
      </c>
      <c r="C231" s="152" t="s">
        <v>260</v>
      </c>
      <c r="D231" s="82">
        <f>61053.85+25456</f>
        <v>86509.85</v>
      </c>
      <c r="E231" s="105" t="s">
        <v>87</v>
      </c>
      <c r="F231" s="6"/>
      <c r="G231" s="41"/>
      <c r="H231" s="57"/>
      <c r="I231" s="14"/>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row>
    <row r="232" spans="1:114" s="46" customFormat="1" ht="31.5" customHeight="1">
      <c r="A232" s="260"/>
      <c r="B232" s="262"/>
      <c r="C232" s="152" t="s">
        <v>134</v>
      </c>
      <c r="D232" s="82">
        <v>4320</v>
      </c>
      <c r="E232" s="122" t="s">
        <v>117</v>
      </c>
      <c r="F232" s="6"/>
      <c r="G232" s="41"/>
      <c r="H232" s="57"/>
      <c r="I232" s="14"/>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c r="CW232" s="45"/>
      <c r="CX232" s="45"/>
      <c r="CY232" s="45"/>
      <c r="CZ232" s="45"/>
      <c r="DA232" s="45"/>
      <c r="DB232" s="45"/>
      <c r="DC232" s="45"/>
      <c r="DD232" s="45"/>
      <c r="DE232" s="45"/>
      <c r="DF232" s="45"/>
      <c r="DG232" s="45"/>
      <c r="DH232" s="45"/>
      <c r="DI232" s="45"/>
      <c r="DJ232" s="45"/>
    </row>
    <row r="233" spans="1:114" s="46" customFormat="1" ht="21" customHeight="1">
      <c r="A233" s="255"/>
      <c r="B233" s="265"/>
      <c r="C233" s="156" t="s">
        <v>196</v>
      </c>
      <c r="D233" s="82"/>
      <c r="E233" s="16"/>
      <c r="F233" s="6"/>
      <c r="G233" s="41"/>
      <c r="H233" s="57"/>
      <c r="I233" s="14"/>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45"/>
      <c r="CA233" s="45"/>
      <c r="CB233" s="45"/>
      <c r="CC233" s="45"/>
      <c r="CD233" s="45"/>
      <c r="CE233" s="45"/>
      <c r="CF233" s="45"/>
      <c r="CG233" s="45"/>
      <c r="CH233" s="45"/>
      <c r="CI233" s="45"/>
      <c r="CJ233" s="45"/>
      <c r="CK233" s="45"/>
      <c r="CL233" s="45"/>
      <c r="CM233" s="45"/>
      <c r="CN233" s="45"/>
      <c r="CO233" s="45"/>
      <c r="CP233" s="45"/>
      <c r="CQ233" s="45"/>
      <c r="CR233" s="45"/>
      <c r="CS233" s="45"/>
      <c r="CT233" s="45"/>
      <c r="CU233" s="45"/>
      <c r="CV233" s="45"/>
      <c r="CW233" s="45"/>
      <c r="CX233" s="45"/>
      <c r="CY233" s="45"/>
      <c r="CZ233" s="45"/>
      <c r="DA233" s="45"/>
      <c r="DB233" s="45"/>
      <c r="DC233" s="45"/>
      <c r="DD233" s="45"/>
      <c r="DE233" s="45"/>
      <c r="DF233" s="45"/>
      <c r="DG233" s="45"/>
      <c r="DH233" s="45"/>
      <c r="DI233" s="45"/>
      <c r="DJ233" s="45"/>
    </row>
    <row r="234" spans="1:114" s="46" customFormat="1" ht="24.75" customHeight="1">
      <c r="A234" s="153" t="s">
        <v>15</v>
      </c>
      <c r="B234" s="22">
        <f>B231</f>
        <v>806</v>
      </c>
      <c r="C234" s="2"/>
      <c r="D234" s="23">
        <f>SUM(D231:D233)</f>
        <v>90829.85</v>
      </c>
      <c r="E234" s="22"/>
      <c r="F234" s="9"/>
      <c r="G234" s="41"/>
      <c r="H234" s="8">
        <f>H231</f>
        <v>0</v>
      </c>
      <c r="I234" s="8"/>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45"/>
      <c r="CA234" s="45"/>
      <c r="CB234" s="45"/>
      <c r="CC234" s="45"/>
      <c r="CD234" s="45"/>
      <c r="CE234" s="45"/>
      <c r="CF234" s="45"/>
      <c r="CG234" s="45"/>
      <c r="CH234" s="45"/>
      <c r="CI234" s="45"/>
      <c r="CJ234" s="45"/>
      <c r="CK234" s="45"/>
      <c r="CL234" s="45"/>
      <c r="CM234" s="45"/>
      <c r="CN234" s="45"/>
      <c r="CO234" s="45"/>
      <c r="CP234" s="45"/>
      <c r="CQ234" s="45"/>
      <c r="CR234" s="45"/>
      <c r="CS234" s="45"/>
      <c r="CT234" s="45"/>
      <c r="CU234" s="45"/>
      <c r="CV234" s="45"/>
      <c r="CW234" s="45"/>
      <c r="CX234" s="45"/>
      <c r="CY234" s="45"/>
      <c r="CZ234" s="45"/>
      <c r="DA234" s="45"/>
      <c r="DB234" s="45"/>
      <c r="DC234" s="45"/>
      <c r="DD234" s="45"/>
      <c r="DE234" s="45"/>
      <c r="DF234" s="45"/>
      <c r="DG234" s="45"/>
      <c r="DH234" s="45"/>
      <c r="DI234" s="45"/>
      <c r="DJ234" s="45"/>
    </row>
    <row r="235" spans="1:114" s="46" customFormat="1" ht="24.75" customHeight="1">
      <c r="A235" s="254" t="s">
        <v>36</v>
      </c>
      <c r="B235" s="256"/>
      <c r="C235" s="21" t="s">
        <v>208</v>
      </c>
      <c r="D235" s="60">
        <v>24.3</v>
      </c>
      <c r="E235" s="105" t="s">
        <v>87</v>
      </c>
      <c r="F235" s="9"/>
      <c r="G235" s="41"/>
      <c r="H235" s="8"/>
      <c r="I235" s="8"/>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5"/>
      <c r="CN235" s="45"/>
      <c r="CO235" s="45"/>
      <c r="CP235" s="45"/>
      <c r="CQ235" s="45"/>
      <c r="CR235" s="45"/>
      <c r="CS235" s="45"/>
      <c r="CT235" s="45"/>
      <c r="CU235" s="45"/>
      <c r="CV235" s="45"/>
      <c r="CW235" s="45"/>
      <c r="CX235" s="45"/>
      <c r="CY235" s="45"/>
      <c r="CZ235" s="45"/>
      <c r="DA235" s="45"/>
      <c r="DB235" s="45"/>
      <c r="DC235" s="45"/>
      <c r="DD235" s="45"/>
      <c r="DE235" s="45"/>
      <c r="DF235" s="45"/>
      <c r="DG235" s="45"/>
      <c r="DH235" s="45"/>
      <c r="DI235" s="45"/>
      <c r="DJ235" s="45"/>
    </row>
    <row r="236" spans="1:114" s="46" customFormat="1" ht="15.75" customHeight="1">
      <c r="A236" s="255"/>
      <c r="B236" s="257"/>
      <c r="C236" s="152"/>
      <c r="D236" s="82"/>
      <c r="E236" s="16"/>
      <c r="F236" s="6"/>
      <c r="G236" s="41"/>
      <c r="H236" s="57"/>
      <c r="I236" s="14"/>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c r="CJ236" s="45"/>
      <c r="CK236" s="45"/>
      <c r="CL236" s="45"/>
      <c r="CM236" s="45"/>
      <c r="CN236" s="45"/>
      <c r="CO236" s="45"/>
      <c r="CP236" s="45"/>
      <c r="CQ236" s="45"/>
      <c r="CR236" s="45"/>
      <c r="CS236" s="45"/>
      <c r="CT236" s="45"/>
      <c r="CU236" s="45"/>
      <c r="CV236" s="45"/>
      <c r="CW236" s="45"/>
      <c r="CX236" s="45"/>
      <c r="CY236" s="45"/>
      <c r="CZ236" s="45"/>
      <c r="DA236" s="45"/>
      <c r="DB236" s="45"/>
      <c r="DC236" s="45"/>
      <c r="DD236" s="45"/>
      <c r="DE236" s="45"/>
      <c r="DF236" s="45"/>
      <c r="DG236" s="45"/>
      <c r="DH236" s="45"/>
      <c r="DI236" s="45"/>
      <c r="DJ236" s="45"/>
    </row>
    <row r="237" spans="1:114" s="46" customFormat="1" ht="20.25" customHeight="1">
      <c r="A237" s="153" t="s">
        <v>15</v>
      </c>
      <c r="B237" s="22">
        <f>B236</f>
        <v>0</v>
      </c>
      <c r="C237" s="2"/>
      <c r="D237" s="23">
        <f>SUM(D235:D236)</f>
        <v>24.3</v>
      </c>
      <c r="E237" s="22"/>
      <c r="F237" s="9"/>
      <c r="G237" s="41"/>
      <c r="H237" s="8">
        <f>H236</f>
        <v>0</v>
      </c>
      <c r="I237" s="8"/>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5"/>
      <c r="CN237" s="45"/>
      <c r="CO237" s="45"/>
      <c r="CP237" s="45"/>
      <c r="CQ237" s="45"/>
      <c r="CR237" s="45"/>
      <c r="CS237" s="45"/>
      <c r="CT237" s="45"/>
      <c r="CU237" s="45"/>
      <c r="CV237" s="45"/>
      <c r="CW237" s="45"/>
      <c r="CX237" s="45"/>
      <c r="CY237" s="45"/>
      <c r="CZ237" s="45"/>
      <c r="DA237" s="45"/>
      <c r="DB237" s="45"/>
      <c r="DC237" s="45"/>
      <c r="DD237" s="45"/>
      <c r="DE237" s="45"/>
      <c r="DF237" s="45"/>
      <c r="DG237" s="45"/>
      <c r="DH237" s="45"/>
      <c r="DI237" s="45"/>
      <c r="DJ237" s="45"/>
    </row>
    <row r="238" spans="1:114" s="46" customFormat="1" ht="99" customHeight="1">
      <c r="A238" s="254" t="s">
        <v>43</v>
      </c>
      <c r="B238" s="256"/>
      <c r="C238" s="152" t="s">
        <v>288</v>
      </c>
      <c r="D238" s="59">
        <f>56007.19+4988.91</f>
        <v>60996.100000000006</v>
      </c>
      <c r="E238" s="105" t="s">
        <v>87</v>
      </c>
      <c r="F238" s="9"/>
      <c r="G238" s="41"/>
      <c r="H238" s="8"/>
      <c r="I238" s="8"/>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c r="CA238" s="45"/>
      <c r="CB238" s="45"/>
      <c r="CC238" s="45"/>
      <c r="CD238" s="45"/>
      <c r="CE238" s="45"/>
      <c r="CF238" s="45"/>
      <c r="CG238" s="45"/>
      <c r="CH238" s="45"/>
      <c r="CI238" s="45"/>
      <c r="CJ238" s="45"/>
      <c r="CK238" s="45"/>
      <c r="CL238" s="45"/>
      <c r="CM238" s="45"/>
      <c r="CN238" s="45"/>
      <c r="CO238" s="45"/>
      <c r="CP238" s="45"/>
      <c r="CQ238" s="45"/>
      <c r="CR238" s="45"/>
      <c r="CS238" s="45"/>
      <c r="CT238" s="45"/>
      <c r="CU238" s="45"/>
      <c r="CV238" s="45"/>
      <c r="CW238" s="45"/>
      <c r="CX238" s="45"/>
      <c r="CY238" s="45"/>
      <c r="CZ238" s="45"/>
      <c r="DA238" s="45"/>
      <c r="DB238" s="45"/>
      <c r="DC238" s="45"/>
      <c r="DD238" s="45"/>
      <c r="DE238" s="45"/>
      <c r="DF238" s="45"/>
      <c r="DG238" s="45"/>
      <c r="DH238" s="45"/>
      <c r="DI238" s="45"/>
      <c r="DJ238" s="45"/>
    </row>
    <row r="239" spans="1:114" s="46" customFormat="1" ht="30.75" customHeight="1">
      <c r="A239" s="255"/>
      <c r="B239" s="257"/>
      <c r="C239" s="152"/>
      <c r="D239" s="83"/>
      <c r="E239" s="16"/>
      <c r="F239" s="6"/>
      <c r="G239" s="41"/>
      <c r="H239" s="57"/>
      <c r="I239" s="14"/>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5"/>
      <c r="BZ239" s="45"/>
      <c r="CA239" s="45"/>
      <c r="CB239" s="45"/>
      <c r="CC239" s="45"/>
      <c r="CD239" s="45"/>
      <c r="CE239" s="45"/>
      <c r="CF239" s="45"/>
      <c r="CG239" s="45"/>
      <c r="CH239" s="45"/>
      <c r="CI239" s="45"/>
      <c r="CJ239" s="45"/>
      <c r="CK239" s="45"/>
      <c r="CL239" s="45"/>
      <c r="CM239" s="45"/>
      <c r="CN239" s="45"/>
      <c r="CO239" s="45"/>
      <c r="CP239" s="45"/>
      <c r="CQ239" s="45"/>
      <c r="CR239" s="45"/>
      <c r="CS239" s="45"/>
      <c r="CT239" s="45"/>
      <c r="CU239" s="45"/>
      <c r="CV239" s="45"/>
      <c r="CW239" s="45"/>
      <c r="CX239" s="45"/>
      <c r="CY239" s="45"/>
      <c r="CZ239" s="45"/>
      <c r="DA239" s="45"/>
      <c r="DB239" s="45"/>
      <c r="DC239" s="45"/>
      <c r="DD239" s="45"/>
      <c r="DE239" s="45"/>
      <c r="DF239" s="45"/>
      <c r="DG239" s="45"/>
      <c r="DH239" s="45"/>
      <c r="DI239" s="45"/>
      <c r="DJ239" s="45"/>
    </row>
    <row r="240" spans="1:114" s="46" customFormat="1" ht="23.25" customHeight="1">
      <c r="A240" s="153" t="s">
        <v>15</v>
      </c>
      <c r="B240" s="22">
        <f>B239</f>
        <v>0</v>
      </c>
      <c r="C240" s="2"/>
      <c r="D240" s="23">
        <f>SUM(D238:D239)</f>
        <v>60996.100000000006</v>
      </c>
      <c r="E240" s="22"/>
      <c r="F240" s="9"/>
      <c r="G240" s="41"/>
      <c r="H240" s="8">
        <f>H239</f>
        <v>0</v>
      </c>
      <c r="I240" s="8"/>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c r="BK240" s="45"/>
      <c r="BL240" s="45"/>
      <c r="BM240" s="45"/>
      <c r="BN240" s="45"/>
      <c r="BO240" s="45"/>
      <c r="BP240" s="45"/>
      <c r="BQ240" s="45"/>
      <c r="BR240" s="45"/>
      <c r="BS240" s="45"/>
      <c r="BT240" s="45"/>
      <c r="BU240" s="45"/>
      <c r="BV240" s="45"/>
      <c r="BW240" s="45"/>
      <c r="BX240" s="45"/>
      <c r="BY240" s="45"/>
      <c r="BZ240" s="45"/>
      <c r="CA240" s="45"/>
      <c r="CB240" s="45"/>
      <c r="CC240" s="45"/>
      <c r="CD240" s="45"/>
      <c r="CE240" s="45"/>
      <c r="CF240" s="45"/>
      <c r="CG240" s="45"/>
      <c r="CH240" s="45"/>
      <c r="CI240" s="45"/>
      <c r="CJ240" s="45"/>
      <c r="CK240" s="45"/>
      <c r="CL240" s="45"/>
      <c r="CM240" s="45"/>
      <c r="CN240" s="45"/>
      <c r="CO240" s="45"/>
      <c r="CP240" s="45"/>
      <c r="CQ240" s="45"/>
      <c r="CR240" s="45"/>
      <c r="CS240" s="45"/>
      <c r="CT240" s="45"/>
      <c r="CU240" s="45"/>
      <c r="CV240" s="45"/>
      <c r="CW240" s="45"/>
      <c r="CX240" s="45"/>
      <c r="CY240" s="45"/>
      <c r="CZ240" s="45"/>
      <c r="DA240" s="45"/>
      <c r="DB240" s="45"/>
      <c r="DC240" s="45"/>
      <c r="DD240" s="45"/>
      <c r="DE240" s="45"/>
      <c r="DF240" s="45"/>
      <c r="DG240" s="45"/>
      <c r="DH240" s="45"/>
      <c r="DI240" s="45"/>
      <c r="DJ240" s="45"/>
    </row>
    <row r="241" spans="1:114" s="46" customFormat="1" ht="132.75" customHeight="1">
      <c r="A241" s="258" t="s">
        <v>52</v>
      </c>
      <c r="B241" s="256"/>
      <c r="C241" s="21" t="s">
        <v>287</v>
      </c>
      <c r="D241" s="60">
        <f>61053.85+35982.5+5745.96</f>
        <v>102782.31000000001</v>
      </c>
      <c r="E241" s="105" t="s">
        <v>87</v>
      </c>
      <c r="F241" s="9"/>
      <c r="G241" s="41"/>
      <c r="H241" s="8"/>
      <c r="I241" s="8"/>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c r="BJ241" s="45"/>
      <c r="BK241" s="45"/>
      <c r="BL241" s="45"/>
      <c r="BM241" s="45"/>
      <c r="BN241" s="45"/>
      <c r="BO241" s="45"/>
      <c r="BP241" s="45"/>
      <c r="BQ241" s="45"/>
      <c r="BR241" s="45"/>
      <c r="BS241" s="45"/>
      <c r="BT241" s="45"/>
      <c r="BU241" s="45"/>
      <c r="BV241" s="45"/>
      <c r="BW241" s="45"/>
      <c r="BX241" s="45"/>
      <c r="BY241" s="45"/>
      <c r="BZ241" s="45"/>
      <c r="CA241" s="45"/>
      <c r="CB241" s="45"/>
      <c r="CC241" s="45"/>
      <c r="CD241" s="45"/>
      <c r="CE241" s="45"/>
      <c r="CF241" s="45"/>
      <c r="CG241" s="45"/>
      <c r="CH241" s="45"/>
      <c r="CI241" s="45"/>
      <c r="CJ241" s="45"/>
      <c r="CK241" s="45"/>
      <c r="CL241" s="45"/>
      <c r="CM241" s="45"/>
      <c r="CN241" s="45"/>
      <c r="CO241" s="45"/>
      <c r="CP241" s="45"/>
      <c r="CQ241" s="45"/>
      <c r="CR241" s="45"/>
      <c r="CS241" s="45"/>
      <c r="CT241" s="45"/>
      <c r="CU241" s="45"/>
      <c r="CV241" s="45"/>
      <c r="CW241" s="45"/>
      <c r="CX241" s="45"/>
      <c r="CY241" s="45"/>
      <c r="CZ241" s="45"/>
      <c r="DA241" s="45"/>
      <c r="DB241" s="45"/>
      <c r="DC241" s="45"/>
      <c r="DD241" s="45"/>
      <c r="DE241" s="45"/>
      <c r="DF241" s="45"/>
      <c r="DG241" s="45"/>
      <c r="DH241" s="45"/>
      <c r="DI241" s="45"/>
      <c r="DJ241" s="45"/>
    </row>
    <row r="242" spans="1:114" s="46" customFormat="1" ht="28.5" customHeight="1">
      <c r="A242" s="259"/>
      <c r="B242" s="257"/>
      <c r="C242" s="21" t="s">
        <v>135</v>
      </c>
      <c r="D242" s="82">
        <v>4320</v>
      </c>
      <c r="E242" s="16" t="s">
        <v>117</v>
      </c>
      <c r="F242" s="9"/>
      <c r="G242" s="41"/>
      <c r="H242" s="57"/>
      <c r="I242" s="14"/>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c r="BK242" s="45"/>
      <c r="BL242" s="45"/>
      <c r="BM242" s="45"/>
      <c r="BN242" s="45"/>
      <c r="BO242" s="45"/>
      <c r="BP242" s="45"/>
      <c r="BQ242" s="45"/>
      <c r="BR242" s="45"/>
      <c r="BS242" s="45"/>
      <c r="BT242" s="45"/>
      <c r="BU242" s="45"/>
      <c r="BV242" s="45"/>
      <c r="BW242" s="45"/>
      <c r="BX242" s="45"/>
      <c r="BY242" s="45"/>
      <c r="BZ242" s="45"/>
      <c r="CA242" s="45"/>
      <c r="CB242" s="45"/>
      <c r="CC242" s="45"/>
      <c r="CD242" s="45"/>
      <c r="CE242" s="45"/>
      <c r="CF242" s="45"/>
      <c r="CG242" s="45"/>
      <c r="CH242" s="45"/>
      <c r="CI242" s="45"/>
      <c r="CJ242" s="45"/>
      <c r="CK242" s="45"/>
      <c r="CL242" s="45"/>
      <c r="CM242" s="45"/>
      <c r="CN242" s="45"/>
      <c r="CO242" s="45"/>
      <c r="CP242" s="45"/>
      <c r="CQ242" s="45"/>
      <c r="CR242" s="45"/>
      <c r="CS242" s="45"/>
      <c r="CT242" s="45"/>
      <c r="CU242" s="45"/>
      <c r="CV242" s="45"/>
      <c r="CW242" s="45"/>
      <c r="CX242" s="45"/>
      <c r="CY242" s="45"/>
      <c r="CZ242" s="45"/>
      <c r="DA242" s="45"/>
      <c r="DB242" s="45"/>
      <c r="DC242" s="45"/>
      <c r="DD242" s="45"/>
      <c r="DE242" s="45"/>
      <c r="DF242" s="45"/>
      <c r="DG242" s="45"/>
      <c r="DH242" s="45"/>
      <c r="DI242" s="45"/>
      <c r="DJ242" s="45"/>
    </row>
    <row r="243" spans="1:114" s="46" customFormat="1" ht="29.25" customHeight="1">
      <c r="A243" s="153" t="s">
        <v>15</v>
      </c>
      <c r="B243" s="22">
        <f>B242</f>
        <v>0</v>
      </c>
      <c r="C243" s="2"/>
      <c r="D243" s="23">
        <f>SUM(D241:D242)</f>
        <v>107102.31000000001</v>
      </c>
      <c r="E243" s="22"/>
      <c r="F243" s="9"/>
      <c r="G243" s="41"/>
      <c r="H243" s="8">
        <f>H242</f>
        <v>0</v>
      </c>
      <c r="I243" s="8"/>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5"/>
      <c r="CN243" s="45"/>
      <c r="CO243" s="45"/>
      <c r="CP243" s="45"/>
      <c r="CQ243" s="45"/>
      <c r="CR243" s="45"/>
      <c r="CS243" s="45"/>
      <c r="CT243" s="45"/>
      <c r="CU243" s="45"/>
      <c r="CV243" s="45"/>
      <c r="CW243" s="45"/>
      <c r="CX243" s="45"/>
      <c r="CY243" s="45"/>
      <c r="CZ243" s="45"/>
      <c r="DA243" s="45"/>
      <c r="DB243" s="45"/>
      <c r="DC243" s="45"/>
      <c r="DD243" s="45"/>
      <c r="DE243" s="45"/>
      <c r="DF243" s="45"/>
      <c r="DG243" s="45"/>
      <c r="DH243" s="45"/>
      <c r="DI243" s="45"/>
      <c r="DJ243" s="45"/>
    </row>
    <row r="244" spans="1:114" s="46" customFormat="1" ht="39.75" customHeight="1">
      <c r="A244" s="78" t="s">
        <v>50</v>
      </c>
      <c r="B244" s="59"/>
      <c r="C244" s="21" t="s">
        <v>231</v>
      </c>
      <c r="D244" s="148">
        <v>85864.3</v>
      </c>
      <c r="E244" s="105" t="s">
        <v>87</v>
      </c>
      <c r="F244" s="6"/>
      <c r="G244" s="41"/>
      <c r="H244" s="57"/>
      <c r="I244" s="14"/>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c r="BN244" s="45"/>
      <c r="BO244" s="45"/>
      <c r="BP244" s="45"/>
      <c r="BQ244" s="45"/>
      <c r="BR244" s="45"/>
      <c r="BS244" s="45"/>
      <c r="BT244" s="45"/>
      <c r="BU244" s="45"/>
      <c r="BV244" s="45"/>
      <c r="BW244" s="45"/>
      <c r="BX244" s="45"/>
      <c r="BY244" s="45"/>
      <c r="BZ244" s="45"/>
      <c r="CA244" s="45"/>
      <c r="CB244" s="45"/>
      <c r="CC244" s="45"/>
      <c r="CD244" s="45"/>
      <c r="CE244" s="45"/>
      <c r="CF244" s="45"/>
      <c r="CG244" s="45"/>
      <c r="CH244" s="45"/>
      <c r="CI244" s="45"/>
      <c r="CJ244" s="45"/>
      <c r="CK244" s="45"/>
      <c r="CL244" s="45"/>
      <c r="CM244" s="45"/>
      <c r="CN244" s="45"/>
      <c r="CO244" s="45"/>
      <c r="CP244" s="45"/>
      <c r="CQ244" s="45"/>
      <c r="CR244" s="45"/>
      <c r="CS244" s="45"/>
      <c r="CT244" s="45"/>
      <c r="CU244" s="45"/>
      <c r="CV244" s="45"/>
      <c r="CW244" s="45"/>
      <c r="CX244" s="45"/>
      <c r="CY244" s="45"/>
      <c r="CZ244" s="45"/>
      <c r="DA244" s="45"/>
      <c r="DB244" s="45"/>
      <c r="DC244" s="45"/>
      <c r="DD244" s="45"/>
      <c r="DE244" s="45"/>
      <c r="DF244" s="45"/>
      <c r="DG244" s="45"/>
      <c r="DH244" s="45"/>
      <c r="DI244" s="45"/>
      <c r="DJ244" s="45"/>
    </row>
    <row r="245" spans="1:114" s="46" customFormat="1" ht="24.75" customHeight="1">
      <c r="A245" s="153" t="s">
        <v>15</v>
      </c>
      <c r="B245" s="22">
        <f>SUM(B244)</f>
        <v>0</v>
      </c>
      <c r="C245" s="2"/>
      <c r="D245" s="23">
        <f>D244</f>
        <v>85864.3</v>
      </c>
      <c r="E245" s="22"/>
      <c r="F245" s="9"/>
      <c r="G245" s="41"/>
      <c r="H245" s="8">
        <f>H244</f>
        <v>0</v>
      </c>
      <c r="I245" s="8"/>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c r="BN245" s="45"/>
      <c r="BO245" s="45"/>
      <c r="BP245" s="45"/>
      <c r="BQ245" s="45"/>
      <c r="BR245" s="45"/>
      <c r="BS245" s="45"/>
      <c r="BT245" s="45"/>
      <c r="BU245" s="45"/>
      <c r="BV245" s="45"/>
      <c r="BW245" s="45"/>
      <c r="BX245" s="45"/>
      <c r="BY245" s="45"/>
      <c r="BZ245" s="45"/>
      <c r="CA245" s="45"/>
      <c r="CB245" s="45"/>
      <c r="CC245" s="45"/>
      <c r="CD245" s="45"/>
      <c r="CE245" s="45"/>
      <c r="CF245" s="45"/>
      <c r="CG245" s="45"/>
      <c r="CH245" s="45"/>
      <c r="CI245" s="45"/>
      <c r="CJ245" s="45"/>
      <c r="CK245" s="45"/>
      <c r="CL245" s="45"/>
      <c r="CM245" s="45"/>
      <c r="CN245" s="45"/>
      <c r="CO245" s="45"/>
      <c r="CP245" s="45"/>
      <c r="CQ245" s="45"/>
      <c r="CR245" s="45"/>
      <c r="CS245" s="45"/>
      <c r="CT245" s="45"/>
      <c r="CU245" s="45"/>
      <c r="CV245" s="45"/>
      <c r="CW245" s="45"/>
      <c r="CX245" s="45"/>
      <c r="CY245" s="45"/>
      <c r="CZ245" s="45"/>
      <c r="DA245" s="45"/>
      <c r="DB245" s="45"/>
      <c r="DC245" s="45"/>
      <c r="DD245" s="45"/>
      <c r="DE245" s="45"/>
      <c r="DF245" s="45"/>
      <c r="DG245" s="45"/>
      <c r="DH245" s="45"/>
      <c r="DI245" s="45"/>
      <c r="DJ245" s="45"/>
    </row>
    <row r="246" spans="1:114" s="46" customFormat="1" ht="31.5">
      <c r="A246" s="254" t="s">
        <v>42</v>
      </c>
      <c r="B246" s="256"/>
      <c r="C246" s="21" t="s">
        <v>262</v>
      </c>
      <c r="D246" s="60">
        <f>56206.04-50998.33</f>
        <v>5207.709999999999</v>
      </c>
      <c r="E246" s="105" t="s">
        <v>87</v>
      </c>
      <c r="F246" s="9"/>
      <c r="G246" s="41"/>
      <c r="H246" s="8"/>
      <c r="I246" s="8"/>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c r="BN246" s="45"/>
      <c r="BO246" s="45"/>
      <c r="BP246" s="45"/>
      <c r="BQ246" s="45"/>
      <c r="BR246" s="45"/>
      <c r="BS246" s="45"/>
      <c r="BT246" s="45"/>
      <c r="BU246" s="45"/>
      <c r="BV246" s="45"/>
      <c r="BW246" s="45"/>
      <c r="BX246" s="45"/>
      <c r="BY246" s="45"/>
      <c r="BZ246" s="45"/>
      <c r="CA246" s="45"/>
      <c r="CB246" s="45"/>
      <c r="CC246" s="45"/>
      <c r="CD246" s="45"/>
      <c r="CE246" s="45"/>
      <c r="CF246" s="45"/>
      <c r="CG246" s="45"/>
      <c r="CH246" s="45"/>
      <c r="CI246" s="45"/>
      <c r="CJ246" s="45"/>
      <c r="CK246" s="45"/>
      <c r="CL246" s="45"/>
      <c r="CM246" s="45"/>
      <c r="CN246" s="45"/>
      <c r="CO246" s="45"/>
      <c r="CP246" s="45"/>
      <c r="CQ246" s="45"/>
      <c r="CR246" s="45"/>
      <c r="CS246" s="45"/>
      <c r="CT246" s="45"/>
      <c r="CU246" s="45"/>
      <c r="CV246" s="45"/>
      <c r="CW246" s="45"/>
      <c r="CX246" s="45"/>
      <c r="CY246" s="45"/>
      <c r="CZ246" s="45"/>
      <c r="DA246" s="45"/>
      <c r="DB246" s="45"/>
      <c r="DC246" s="45"/>
      <c r="DD246" s="45"/>
      <c r="DE246" s="45"/>
      <c r="DF246" s="45"/>
      <c r="DG246" s="45"/>
      <c r="DH246" s="45"/>
      <c r="DI246" s="45"/>
      <c r="DJ246" s="45"/>
    </row>
    <row r="247" spans="1:114" s="46" customFormat="1" ht="27.75" customHeight="1">
      <c r="A247" s="255"/>
      <c r="B247" s="257"/>
      <c r="C247" s="152" t="s">
        <v>122</v>
      </c>
      <c r="D247" s="82">
        <v>980</v>
      </c>
      <c r="E247" s="16" t="s">
        <v>108</v>
      </c>
      <c r="F247" s="6"/>
      <c r="G247" s="41"/>
      <c r="H247" s="57"/>
      <c r="I247" s="14"/>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c r="BN247" s="45"/>
      <c r="BO247" s="45"/>
      <c r="BP247" s="45"/>
      <c r="BQ247" s="45"/>
      <c r="BR247" s="45"/>
      <c r="BS247" s="45"/>
      <c r="BT247" s="45"/>
      <c r="BU247" s="45"/>
      <c r="BV247" s="45"/>
      <c r="BW247" s="45"/>
      <c r="BX247" s="45"/>
      <c r="BY247" s="45"/>
      <c r="BZ247" s="45"/>
      <c r="CA247" s="45"/>
      <c r="CB247" s="45"/>
      <c r="CC247" s="45"/>
      <c r="CD247" s="45"/>
      <c r="CE247" s="45"/>
      <c r="CF247" s="45"/>
      <c r="CG247" s="45"/>
      <c r="CH247" s="45"/>
      <c r="CI247" s="45"/>
      <c r="CJ247" s="45"/>
      <c r="CK247" s="45"/>
      <c r="CL247" s="45"/>
      <c r="CM247" s="45"/>
      <c r="CN247" s="45"/>
      <c r="CO247" s="45"/>
      <c r="CP247" s="45"/>
      <c r="CQ247" s="45"/>
      <c r="CR247" s="45"/>
      <c r="CS247" s="45"/>
      <c r="CT247" s="45"/>
      <c r="CU247" s="45"/>
      <c r="CV247" s="45"/>
      <c r="CW247" s="45"/>
      <c r="CX247" s="45"/>
      <c r="CY247" s="45"/>
      <c r="CZ247" s="45"/>
      <c r="DA247" s="45"/>
      <c r="DB247" s="45"/>
      <c r="DC247" s="45"/>
      <c r="DD247" s="45"/>
      <c r="DE247" s="45"/>
      <c r="DF247" s="45"/>
      <c r="DG247" s="45"/>
      <c r="DH247" s="45"/>
      <c r="DI247" s="45"/>
      <c r="DJ247" s="45"/>
    </row>
    <row r="248" spans="1:114" s="46" customFormat="1" ht="23.25" customHeight="1">
      <c r="A248" s="153" t="s">
        <v>15</v>
      </c>
      <c r="B248" s="22">
        <f>SUM(B246)</f>
        <v>0</v>
      </c>
      <c r="C248" s="2"/>
      <c r="D248" s="23">
        <f>SUM(D246:D247)</f>
        <v>6187.709999999999</v>
      </c>
      <c r="E248" s="22"/>
      <c r="F248" s="9"/>
      <c r="G248" s="41"/>
      <c r="H248" s="8">
        <f>H247</f>
        <v>0</v>
      </c>
      <c r="I248" s="8"/>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c r="BN248" s="45"/>
      <c r="BO248" s="45"/>
      <c r="BP248" s="45"/>
      <c r="BQ248" s="45"/>
      <c r="BR248" s="45"/>
      <c r="BS248" s="45"/>
      <c r="BT248" s="45"/>
      <c r="BU248" s="45"/>
      <c r="BV248" s="45"/>
      <c r="BW248" s="45"/>
      <c r="BX248" s="45"/>
      <c r="BY248" s="45"/>
      <c r="BZ248" s="45"/>
      <c r="CA248" s="45"/>
      <c r="CB248" s="45"/>
      <c r="CC248" s="45"/>
      <c r="CD248" s="45"/>
      <c r="CE248" s="45"/>
      <c r="CF248" s="45"/>
      <c r="CG248" s="45"/>
      <c r="CH248" s="45"/>
      <c r="CI248" s="45"/>
      <c r="CJ248" s="45"/>
      <c r="CK248" s="45"/>
      <c r="CL248" s="45"/>
      <c r="CM248" s="45"/>
      <c r="CN248" s="45"/>
      <c r="CO248" s="45"/>
      <c r="CP248" s="45"/>
      <c r="CQ248" s="45"/>
      <c r="CR248" s="45"/>
      <c r="CS248" s="45"/>
      <c r="CT248" s="45"/>
      <c r="CU248" s="45"/>
      <c r="CV248" s="45"/>
      <c r="CW248" s="45"/>
      <c r="CX248" s="45"/>
      <c r="CY248" s="45"/>
      <c r="CZ248" s="45"/>
      <c r="DA248" s="45"/>
      <c r="DB248" s="45"/>
      <c r="DC248" s="45"/>
      <c r="DD248" s="45"/>
      <c r="DE248" s="45"/>
      <c r="DF248" s="45"/>
      <c r="DG248" s="45"/>
      <c r="DH248" s="45"/>
      <c r="DI248" s="45"/>
      <c r="DJ248" s="45"/>
    </row>
    <row r="249" spans="1:114" s="46" customFormat="1" ht="47.25">
      <c r="A249" s="254" t="s">
        <v>48</v>
      </c>
      <c r="B249" s="261">
        <v>15000</v>
      </c>
      <c r="C249" s="152" t="s">
        <v>233</v>
      </c>
      <c r="D249" s="59">
        <f>51022.63</f>
        <v>51022.63</v>
      </c>
      <c r="E249" s="105" t="s">
        <v>87</v>
      </c>
      <c r="F249" s="6"/>
      <c r="G249" s="41"/>
      <c r="H249" s="57"/>
      <c r="I249" s="14"/>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c r="CA249" s="45"/>
      <c r="CB249" s="45"/>
      <c r="CC249" s="45"/>
      <c r="CD249" s="45"/>
      <c r="CE249" s="45"/>
      <c r="CF249" s="45"/>
      <c r="CG249" s="45"/>
      <c r="CH249" s="45"/>
      <c r="CI249" s="45"/>
      <c r="CJ249" s="45"/>
      <c r="CK249" s="45"/>
      <c r="CL249" s="45"/>
      <c r="CM249" s="45"/>
      <c r="CN249" s="45"/>
      <c r="CO249" s="45"/>
      <c r="CP249" s="45"/>
      <c r="CQ249" s="45"/>
      <c r="CR249" s="45"/>
      <c r="CS249" s="45"/>
      <c r="CT249" s="45"/>
      <c r="CU249" s="45"/>
      <c r="CV249" s="45"/>
      <c r="CW249" s="45"/>
      <c r="CX249" s="45"/>
      <c r="CY249" s="45"/>
      <c r="CZ249" s="45"/>
      <c r="DA249" s="45"/>
      <c r="DB249" s="45"/>
      <c r="DC249" s="45"/>
      <c r="DD249" s="45"/>
      <c r="DE249" s="45"/>
      <c r="DF249" s="45"/>
      <c r="DG249" s="45"/>
      <c r="DH249" s="45"/>
      <c r="DI249" s="45"/>
      <c r="DJ249" s="45"/>
    </row>
    <row r="250" spans="1:114" s="46" customFormat="1" ht="19.5" customHeight="1">
      <c r="A250" s="260"/>
      <c r="B250" s="262"/>
      <c r="C250" s="116" t="s">
        <v>261</v>
      </c>
      <c r="D250" s="59"/>
      <c r="E250" s="74"/>
      <c r="F250" s="6"/>
      <c r="G250" s="41"/>
      <c r="H250" s="8"/>
      <c r="I250" s="8"/>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c r="BR250" s="45"/>
      <c r="BS250" s="45"/>
      <c r="BT250" s="45"/>
      <c r="BU250" s="45"/>
      <c r="BV250" s="45"/>
      <c r="BW250" s="45"/>
      <c r="BX250" s="45"/>
      <c r="BY250" s="45"/>
      <c r="BZ250" s="45"/>
      <c r="CA250" s="45"/>
      <c r="CB250" s="45"/>
      <c r="CC250" s="45"/>
      <c r="CD250" s="45"/>
      <c r="CE250" s="45"/>
      <c r="CF250" s="45"/>
      <c r="CG250" s="45"/>
      <c r="CH250" s="45"/>
      <c r="CI250" s="45"/>
      <c r="CJ250" s="45"/>
      <c r="CK250" s="45"/>
      <c r="CL250" s="45"/>
      <c r="CM250" s="45"/>
      <c r="CN250" s="45"/>
      <c r="CO250" s="45"/>
      <c r="CP250" s="45"/>
      <c r="CQ250" s="45"/>
      <c r="CR250" s="45"/>
      <c r="CS250" s="45"/>
      <c r="CT250" s="45"/>
      <c r="CU250" s="45"/>
      <c r="CV250" s="45"/>
      <c r="CW250" s="45"/>
      <c r="CX250" s="45"/>
      <c r="CY250" s="45"/>
      <c r="CZ250" s="45"/>
      <c r="DA250" s="45"/>
      <c r="DB250" s="45"/>
      <c r="DC250" s="45"/>
      <c r="DD250" s="45"/>
      <c r="DE250" s="45"/>
      <c r="DF250" s="45"/>
      <c r="DG250" s="45"/>
      <c r="DH250" s="45"/>
      <c r="DI250" s="45"/>
      <c r="DJ250" s="45"/>
    </row>
    <row r="251" spans="1:114" s="46" customFormat="1" ht="24" customHeight="1">
      <c r="A251" s="169" t="s">
        <v>15</v>
      </c>
      <c r="B251" s="22">
        <f>B249</f>
        <v>15000</v>
      </c>
      <c r="C251" s="116"/>
      <c r="D251" s="22">
        <f>D249+D250</f>
        <v>51022.63</v>
      </c>
      <c r="E251" s="85"/>
      <c r="F251" s="6"/>
      <c r="G251" s="41"/>
      <c r="H251" s="8">
        <f>H249+H250</f>
        <v>0</v>
      </c>
      <c r="I251" s="8"/>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c r="BN251" s="45"/>
      <c r="BO251" s="45"/>
      <c r="BP251" s="45"/>
      <c r="BQ251" s="45"/>
      <c r="BR251" s="45"/>
      <c r="BS251" s="45"/>
      <c r="BT251" s="45"/>
      <c r="BU251" s="45"/>
      <c r="BV251" s="45"/>
      <c r="BW251" s="45"/>
      <c r="BX251" s="45"/>
      <c r="BY251" s="45"/>
      <c r="BZ251" s="45"/>
      <c r="CA251" s="45"/>
      <c r="CB251" s="45"/>
      <c r="CC251" s="45"/>
      <c r="CD251" s="45"/>
      <c r="CE251" s="45"/>
      <c r="CF251" s="45"/>
      <c r="CG251" s="45"/>
      <c r="CH251" s="45"/>
      <c r="CI251" s="45"/>
      <c r="CJ251" s="45"/>
      <c r="CK251" s="45"/>
      <c r="CL251" s="45"/>
      <c r="CM251" s="45"/>
      <c r="CN251" s="45"/>
      <c r="CO251" s="45"/>
      <c r="CP251" s="45"/>
      <c r="CQ251" s="45"/>
      <c r="CR251" s="45"/>
      <c r="CS251" s="45"/>
      <c r="CT251" s="45"/>
      <c r="CU251" s="45"/>
      <c r="CV251" s="45"/>
      <c r="CW251" s="45"/>
      <c r="CX251" s="45"/>
      <c r="CY251" s="45"/>
      <c r="CZ251" s="45"/>
      <c r="DA251" s="45"/>
      <c r="DB251" s="45"/>
      <c r="DC251" s="45"/>
      <c r="DD251" s="45"/>
      <c r="DE251" s="45"/>
      <c r="DF251" s="45"/>
      <c r="DG251" s="45"/>
      <c r="DH251" s="45"/>
      <c r="DI251" s="45"/>
      <c r="DJ251" s="45"/>
    </row>
    <row r="252" spans="1:114" s="46" customFormat="1" ht="39" customHeight="1">
      <c r="A252" s="78" t="s">
        <v>51</v>
      </c>
      <c r="B252" s="59"/>
      <c r="C252" s="152" t="s">
        <v>211</v>
      </c>
      <c r="D252" s="82">
        <v>24.3</v>
      </c>
      <c r="E252" s="105" t="s">
        <v>87</v>
      </c>
      <c r="F252" s="6"/>
      <c r="G252" s="41"/>
      <c r="H252" s="5"/>
      <c r="I252" s="14"/>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c r="BK252" s="45"/>
      <c r="BL252" s="45"/>
      <c r="BM252" s="45"/>
      <c r="BN252" s="45"/>
      <c r="BO252" s="45"/>
      <c r="BP252" s="45"/>
      <c r="BQ252" s="45"/>
      <c r="BR252" s="45"/>
      <c r="BS252" s="45"/>
      <c r="BT252" s="45"/>
      <c r="BU252" s="45"/>
      <c r="BV252" s="45"/>
      <c r="BW252" s="45"/>
      <c r="BX252" s="45"/>
      <c r="BY252" s="45"/>
      <c r="BZ252" s="45"/>
      <c r="CA252" s="45"/>
      <c r="CB252" s="45"/>
      <c r="CC252" s="45"/>
      <c r="CD252" s="45"/>
      <c r="CE252" s="45"/>
      <c r="CF252" s="45"/>
      <c r="CG252" s="45"/>
      <c r="CH252" s="45"/>
      <c r="CI252" s="45"/>
      <c r="CJ252" s="45"/>
      <c r="CK252" s="45"/>
      <c r="CL252" s="45"/>
      <c r="CM252" s="45"/>
      <c r="CN252" s="45"/>
      <c r="CO252" s="45"/>
      <c r="CP252" s="45"/>
      <c r="CQ252" s="45"/>
      <c r="CR252" s="45"/>
      <c r="CS252" s="45"/>
      <c r="CT252" s="45"/>
      <c r="CU252" s="45"/>
      <c r="CV252" s="45"/>
      <c r="CW252" s="45"/>
      <c r="CX252" s="45"/>
      <c r="CY252" s="45"/>
      <c r="CZ252" s="45"/>
      <c r="DA252" s="45"/>
      <c r="DB252" s="45"/>
      <c r="DC252" s="45"/>
      <c r="DD252" s="45"/>
      <c r="DE252" s="45"/>
      <c r="DF252" s="45"/>
      <c r="DG252" s="45"/>
      <c r="DH252" s="45"/>
      <c r="DI252" s="45"/>
      <c r="DJ252" s="45"/>
    </row>
    <row r="253" spans="1:114" s="46" customFormat="1" ht="24.75" customHeight="1" thickBot="1">
      <c r="A253" s="153" t="s">
        <v>15</v>
      </c>
      <c r="B253" s="39">
        <f>B252</f>
        <v>0</v>
      </c>
      <c r="C253" s="2"/>
      <c r="D253" s="89">
        <f>D252</f>
        <v>24.3</v>
      </c>
      <c r="E253" s="22"/>
      <c r="F253" s="9"/>
      <c r="G253" s="41"/>
      <c r="H253" s="50">
        <f>H252</f>
        <v>0</v>
      </c>
      <c r="I253" s="8"/>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c r="BN253" s="45"/>
      <c r="BO253" s="45"/>
      <c r="BP253" s="45"/>
      <c r="BQ253" s="45"/>
      <c r="BR253" s="45"/>
      <c r="BS253" s="45"/>
      <c r="BT253" s="45"/>
      <c r="BU253" s="45"/>
      <c r="BV253" s="45"/>
      <c r="BW253" s="45"/>
      <c r="BX253" s="45"/>
      <c r="BY253" s="45"/>
      <c r="BZ253" s="45"/>
      <c r="CA253" s="45"/>
      <c r="CB253" s="45"/>
      <c r="CC253" s="45"/>
      <c r="CD253" s="45"/>
      <c r="CE253" s="45"/>
      <c r="CF253" s="45"/>
      <c r="CG253" s="45"/>
      <c r="CH253" s="45"/>
      <c r="CI253" s="45"/>
      <c r="CJ253" s="45"/>
      <c r="CK253" s="45"/>
      <c r="CL253" s="45"/>
      <c r="CM253" s="45"/>
      <c r="CN253" s="45"/>
      <c r="CO253" s="45"/>
      <c r="CP253" s="45"/>
      <c r="CQ253" s="45"/>
      <c r="CR253" s="45"/>
      <c r="CS253" s="45"/>
      <c r="CT253" s="45"/>
      <c r="CU253" s="45"/>
      <c r="CV253" s="45"/>
      <c r="CW253" s="45"/>
      <c r="CX253" s="45"/>
      <c r="CY253" s="45"/>
      <c r="CZ253" s="45"/>
      <c r="DA253" s="45"/>
      <c r="DB253" s="45"/>
      <c r="DC253" s="45"/>
      <c r="DD253" s="45"/>
      <c r="DE253" s="45"/>
      <c r="DF253" s="45"/>
      <c r="DG253" s="45"/>
      <c r="DH253" s="45"/>
      <c r="DI253" s="45"/>
      <c r="DJ253" s="45"/>
    </row>
    <row r="254" spans="1:114" s="67" customFormat="1" ht="60.75" customHeight="1" thickBot="1">
      <c r="A254" s="163" t="s">
        <v>57</v>
      </c>
      <c r="B254" s="22">
        <f>SUM(B243+B95+B101+B105+B111+B124+B142+B146+B155+B166+B174+B251+B181+B184+B188+B195+B202+B206+B216+B220+B226+B234+B237+B240+B245+B248+B253)</f>
        <v>75921.20999999999</v>
      </c>
      <c r="C254" s="22"/>
      <c r="D254" s="101">
        <f>SUM(D243+D95+D101+D251+D105+D111+D124+D142+D146+D155+D166+D174+D181+D184+D188+D195+D202+D206+D216+D220+D226+D234+D237+D240+D245+D248+D253+D230)</f>
        <v>13780619.660000004</v>
      </c>
      <c r="E254" s="22">
        <f>SUM(E243+E80+E83+E95+E101+E251+E105+E111+E124+E142+E146+E155+E166+E174+E181+E184+E188+E195+E202+E206+E216+E220+E226+E234+E237+E240+E245+E248+E253)</f>
        <v>0</v>
      </c>
      <c r="F254" s="22">
        <f>SUM(F243+F80+F83+F95+F101+F251+F105+F111+F124+F142+F146+F155+F166+F174+F181+F184+F188+F195+F202+F206+F216+F220+F226+F234+F237+F240+F245+F248+F253)</f>
        <v>0</v>
      </c>
      <c r="G254" s="22">
        <f>SUM(G243+G80+G83+G95+G101+G251+G105+G111+G124+G142+G146+G155+G166+G174+G181+G184+G188+G195+G202+G206+G216+G220+G226+G234+G237+G240+G245+G248+G253)</f>
        <v>0</v>
      </c>
      <c r="H254" s="22">
        <f>SUM(H243+H80+H83+H95+H101+H251+H105+H111+H124+H142+H146+H155+H166+H174+H181+H184+H188+H195+H202+H206+H216+H220+H226+H234+H237+H240+H245+H248+H253)+H230</f>
        <v>0</v>
      </c>
      <c r="I254" s="22">
        <f>SUM(I243+I80+I83+I95+I101+I251+I105+I111+I124+I142+I146+I155+I166+I174+I181+I184+I188+I195+I202+I206+I216+I220+I226+I234+I237+I240+I245+I248+I253)</f>
        <v>0</v>
      </c>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66"/>
      <c r="BG254" s="66"/>
      <c r="BH254" s="66"/>
      <c r="BI254" s="66"/>
      <c r="BJ254" s="66"/>
      <c r="BK254" s="66"/>
      <c r="BL254" s="66"/>
      <c r="BM254" s="66"/>
      <c r="BN254" s="66"/>
      <c r="BO254" s="66"/>
      <c r="BP254" s="66"/>
      <c r="BQ254" s="66"/>
      <c r="BR254" s="66"/>
      <c r="BS254" s="66"/>
      <c r="BT254" s="66"/>
      <c r="BU254" s="66"/>
      <c r="BV254" s="66"/>
      <c r="BW254" s="66"/>
      <c r="BX254" s="66"/>
      <c r="BY254" s="66"/>
      <c r="BZ254" s="66"/>
      <c r="CA254" s="66"/>
      <c r="CB254" s="66"/>
      <c r="CC254" s="66"/>
      <c r="CD254" s="66"/>
      <c r="CE254" s="66"/>
      <c r="CF254" s="66"/>
      <c r="CG254" s="66"/>
      <c r="CH254" s="66"/>
      <c r="CI254" s="66"/>
      <c r="CJ254" s="66"/>
      <c r="CK254" s="66"/>
      <c r="CL254" s="66"/>
      <c r="CM254" s="66"/>
      <c r="CN254" s="66"/>
      <c r="CO254" s="66"/>
      <c r="CP254" s="66"/>
      <c r="CQ254" s="66"/>
      <c r="CR254" s="66"/>
      <c r="CS254" s="66"/>
      <c r="CT254" s="66"/>
      <c r="CU254" s="66"/>
      <c r="CV254" s="66"/>
      <c r="CW254" s="66"/>
      <c r="CX254" s="66"/>
      <c r="CY254" s="66"/>
      <c r="CZ254" s="66"/>
      <c r="DA254" s="66"/>
      <c r="DB254" s="66"/>
      <c r="DC254" s="66"/>
      <c r="DD254" s="66"/>
      <c r="DE254" s="66"/>
      <c r="DF254" s="66"/>
      <c r="DG254" s="66"/>
      <c r="DH254" s="66"/>
      <c r="DI254" s="66"/>
      <c r="DJ254" s="66"/>
    </row>
    <row r="255" spans="1:114" s="67" customFormat="1" ht="79.5" customHeight="1" thickBot="1">
      <c r="A255" s="153" t="s">
        <v>58</v>
      </c>
      <c r="B255" s="23">
        <f>SUM(B84+B254)</f>
        <v>148540.81</v>
      </c>
      <c r="C255" s="23"/>
      <c r="D255" s="23">
        <f aca="true" t="shared" si="0" ref="D255:I255">SUM(D84+D254)</f>
        <v>14652583.620000005</v>
      </c>
      <c r="E255" s="23">
        <f t="shared" si="0"/>
        <v>0</v>
      </c>
      <c r="F255" s="23">
        <f t="shared" si="0"/>
        <v>0</v>
      </c>
      <c r="G255" s="23">
        <f t="shared" si="0"/>
        <v>0</v>
      </c>
      <c r="H255" s="23">
        <f t="shared" si="0"/>
        <v>0</v>
      </c>
      <c r="I255" s="23">
        <f t="shared" si="0"/>
        <v>0</v>
      </c>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66"/>
      <c r="BY255" s="66"/>
      <c r="BZ255" s="66"/>
      <c r="CA255" s="66"/>
      <c r="CB255" s="66"/>
      <c r="CC255" s="66"/>
      <c r="CD255" s="66"/>
      <c r="CE255" s="66"/>
      <c r="CF255" s="66"/>
      <c r="CG255" s="66"/>
      <c r="CH255" s="66"/>
      <c r="CI255" s="66"/>
      <c r="CJ255" s="66"/>
      <c r="CK255" s="66"/>
      <c r="CL255" s="66"/>
      <c r="CM255" s="66"/>
      <c r="CN255" s="66"/>
      <c r="CO255" s="66"/>
      <c r="CP255" s="66"/>
      <c r="CQ255" s="66"/>
      <c r="CR255" s="66"/>
      <c r="CS255" s="66"/>
      <c r="CT255" s="66"/>
      <c r="CU255" s="66"/>
      <c r="CV255" s="66"/>
      <c r="CW255" s="66"/>
      <c r="CX255" s="66"/>
      <c r="CY255" s="66"/>
      <c r="CZ255" s="66"/>
      <c r="DA255" s="66"/>
      <c r="DB255" s="66"/>
      <c r="DC255" s="66"/>
      <c r="DD255" s="66"/>
      <c r="DE255" s="66"/>
      <c r="DF255" s="66"/>
      <c r="DG255" s="66"/>
      <c r="DH255" s="66"/>
      <c r="DI255" s="66"/>
      <c r="DJ255" s="66"/>
    </row>
    <row r="256" spans="1:114" s="70" customFormat="1" ht="9.75" customHeight="1" hidden="1">
      <c r="A256" s="68"/>
      <c r="B256" s="68"/>
      <c r="C256" s="68"/>
      <c r="D256" s="90"/>
      <c r="E256" s="71"/>
      <c r="F256" s="69"/>
      <c r="G256" s="69"/>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c r="CJ256" s="34"/>
      <c r="CK256" s="34"/>
      <c r="CL256" s="34"/>
      <c r="CM256" s="34"/>
      <c r="CN256" s="34"/>
      <c r="CO256" s="34"/>
      <c r="CP256" s="34"/>
      <c r="CQ256" s="34"/>
      <c r="CR256" s="34"/>
      <c r="CS256" s="34"/>
      <c r="CT256" s="34"/>
      <c r="CU256" s="34"/>
      <c r="CV256" s="34"/>
      <c r="CW256" s="34"/>
      <c r="CX256" s="34"/>
      <c r="CY256" s="34"/>
      <c r="CZ256" s="34"/>
      <c r="DA256" s="34"/>
      <c r="DB256" s="34"/>
      <c r="DC256" s="34"/>
      <c r="DD256" s="34"/>
      <c r="DE256" s="34"/>
      <c r="DF256" s="34"/>
      <c r="DG256" s="34"/>
      <c r="DH256" s="34"/>
      <c r="DI256" s="34"/>
      <c r="DJ256" s="34"/>
    </row>
    <row r="257" spans="1:114" s="70" customFormat="1" ht="34.5" customHeight="1">
      <c r="A257" s="71" t="s">
        <v>59</v>
      </c>
      <c r="B257" s="71"/>
      <c r="C257" s="71"/>
      <c r="D257" s="90"/>
      <c r="E257" s="71" t="s">
        <v>24</v>
      </c>
      <c r="F257" s="69"/>
      <c r="G257" s="25" t="s">
        <v>61</v>
      </c>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c r="CN257" s="34"/>
      <c r="CO257" s="34"/>
      <c r="CP257" s="34"/>
      <c r="CQ257" s="34"/>
      <c r="CR257" s="34"/>
      <c r="CS257" s="34"/>
      <c r="CT257" s="34"/>
      <c r="CU257" s="34"/>
      <c r="CV257" s="34"/>
      <c r="CW257" s="34"/>
      <c r="CX257" s="34"/>
      <c r="CY257" s="34"/>
      <c r="CZ257" s="34"/>
      <c r="DA257" s="34"/>
      <c r="DB257" s="34"/>
      <c r="DC257" s="34"/>
      <c r="DD257" s="34"/>
      <c r="DE257" s="34"/>
      <c r="DF257" s="34"/>
      <c r="DG257" s="34"/>
      <c r="DH257" s="34"/>
      <c r="DI257" s="34"/>
      <c r="DJ257" s="34"/>
    </row>
    <row r="258" spans="1:9" ht="20.25" customHeight="1">
      <c r="A258" s="68" t="s">
        <v>25</v>
      </c>
      <c r="B258" s="68"/>
      <c r="C258" s="26"/>
      <c r="D258" s="91"/>
      <c r="E258" s="95"/>
      <c r="F258" s="24"/>
      <c r="G258" s="24" t="s">
        <v>84</v>
      </c>
      <c r="H258" s="13"/>
      <c r="I258" s="13"/>
    </row>
    <row r="259" spans="1:10" ht="26.25" customHeight="1">
      <c r="A259" s="26" t="s">
        <v>62</v>
      </c>
      <c r="B259" s="26"/>
      <c r="C259" s="26"/>
      <c r="D259" s="90"/>
      <c r="E259" s="93"/>
      <c r="F259" s="72"/>
      <c r="G259" s="72"/>
      <c r="H259" s="13"/>
      <c r="I259" s="47"/>
      <c r="J259" s="13" t="s">
        <v>60</v>
      </c>
    </row>
    <row r="260" spans="1:9" ht="20.25" customHeight="1">
      <c r="A260" s="26"/>
      <c r="B260" s="26"/>
      <c r="C260" s="179"/>
      <c r="D260" s="90"/>
      <c r="E260" s="93"/>
      <c r="F260" s="72"/>
      <c r="G260" s="72"/>
      <c r="H260" s="13"/>
      <c r="I260" s="13"/>
    </row>
    <row r="261" spans="1:9" ht="12" customHeight="1">
      <c r="A261" s="27"/>
      <c r="B261" s="27"/>
      <c r="C261" s="27"/>
      <c r="D261" s="92"/>
      <c r="E261" s="27"/>
      <c r="F261" s="13"/>
      <c r="G261" s="13"/>
      <c r="H261" s="13"/>
      <c r="I261" s="13"/>
    </row>
    <row r="262" spans="1:9" ht="15.75">
      <c r="A262" s="27"/>
      <c r="B262" s="27"/>
      <c r="C262" s="27"/>
      <c r="D262" s="92"/>
      <c r="E262" s="27"/>
      <c r="F262" s="13"/>
      <c r="G262" s="13"/>
      <c r="H262" s="13"/>
      <c r="I262" s="13"/>
    </row>
    <row r="263" spans="1:9" ht="15.75">
      <c r="A263" s="27"/>
      <c r="B263" s="27"/>
      <c r="C263" s="27"/>
      <c r="D263" s="92"/>
      <c r="E263" s="27"/>
      <c r="F263" s="13"/>
      <c r="G263" s="13"/>
      <c r="H263" s="13"/>
      <c r="I263" s="13"/>
    </row>
  </sheetData>
  <sheetProtection/>
  <mergeCells count="140">
    <mergeCell ref="G4:I4"/>
    <mergeCell ref="A5:I5"/>
    <mergeCell ref="A6:I6"/>
    <mergeCell ref="A7:I7"/>
    <mergeCell ref="A8:A11"/>
    <mergeCell ref="B8:E8"/>
    <mergeCell ref="F8:I8"/>
    <mergeCell ref="B9:C10"/>
    <mergeCell ref="D9:E10"/>
    <mergeCell ref="F9:G10"/>
    <mergeCell ref="H9:I10"/>
    <mergeCell ref="A12:A14"/>
    <mergeCell ref="B12:B14"/>
    <mergeCell ref="A16:A19"/>
    <mergeCell ref="B16:B19"/>
    <mergeCell ref="A21:A25"/>
    <mergeCell ref="B21:B24"/>
    <mergeCell ref="A26:A27"/>
    <mergeCell ref="B26:B27"/>
    <mergeCell ref="A29:A31"/>
    <mergeCell ref="B29:B31"/>
    <mergeCell ref="A33:A35"/>
    <mergeCell ref="B33:B35"/>
    <mergeCell ref="F33:F34"/>
    <mergeCell ref="G33:G34"/>
    <mergeCell ref="H33:H34"/>
    <mergeCell ref="I33:I34"/>
    <mergeCell ref="A37:A39"/>
    <mergeCell ref="B37:B39"/>
    <mergeCell ref="A41:A42"/>
    <mergeCell ref="B41:B42"/>
    <mergeCell ref="A44:A47"/>
    <mergeCell ref="B44:B47"/>
    <mergeCell ref="A49:A50"/>
    <mergeCell ref="B49:B50"/>
    <mergeCell ref="A52:A53"/>
    <mergeCell ref="B52:B53"/>
    <mergeCell ref="A55:A59"/>
    <mergeCell ref="B55:B59"/>
    <mergeCell ref="A61:A62"/>
    <mergeCell ref="B61:B62"/>
    <mergeCell ref="A64:A65"/>
    <mergeCell ref="B64:B65"/>
    <mergeCell ref="A67:A68"/>
    <mergeCell ref="B67:B68"/>
    <mergeCell ref="A70:A71"/>
    <mergeCell ref="B70:B71"/>
    <mergeCell ref="A73:A75"/>
    <mergeCell ref="B73:B75"/>
    <mergeCell ref="A77:A79"/>
    <mergeCell ref="B77:B79"/>
    <mergeCell ref="A81:A82"/>
    <mergeCell ref="B81:B82"/>
    <mergeCell ref="A85:A94"/>
    <mergeCell ref="B85:B94"/>
    <mergeCell ref="A96:A100"/>
    <mergeCell ref="B96:B100"/>
    <mergeCell ref="F96:F100"/>
    <mergeCell ref="G96:G100"/>
    <mergeCell ref="A102:A104"/>
    <mergeCell ref="B102:B104"/>
    <mergeCell ref="F102:F104"/>
    <mergeCell ref="G102:G104"/>
    <mergeCell ref="A106:A110"/>
    <mergeCell ref="B106:B110"/>
    <mergeCell ref="F106:F110"/>
    <mergeCell ref="G106:G110"/>
    <mergeCell ref="A112:A123"/>
    <mergeCell ref="B112:B123"/>
    <mergeCell ref="F118:F123"/>
    <mergeCell ref="G118:G123"/>
    <mergeCell ref="A135:A141"/>
    <mergeCell ref="B135:B141"/>
    <mergeCell ref="F138:F141"/>
    <mergeCell ref="G138:G141"/>
    <mergeCell ref="A143:A145"/>
    <mergeCell ref="B143:B145"/>
    <mergeCell ref="F143:F145"/>
    <mergeCell ref="G143:G145"/>
    <mergeCell ref="A147:A154"/>
    <mergeCell ref="B147:B154"/>
    <mergeCell ref="F147:F154"/>
    <mergeCell ref="G147:G154"/>
    <mergeCell ref="A156:A165"/>
    <mergeCell ref="B156:B165"/>
    <mergeCell ref="F156:F165"/>
    <mergeCell ref="G156:G165"/>
    <mergeCell ref="A167:A173"/>
    <mergeCell ref="B167:B173"/>
    <mergeCell ref="F167:F173"/>
    <mergeCell ref="G167:G173"/>
    <mergeCell ref="A175:A180"/>
    <mergeCell ref="B175:B180"/>
    <mergeCell ref="F175:F180"/>
    <mergeCell ref="G175:G180"/>
    <mergeCell ref="A182:A183"/>
    <mergeCell ref="B182:B183"/>
    <mergeCell ref="A185:A187"/>
    <mergeCell ref="B185:B187"/>
    <mergeCell ref="F185:F187"/>
    <mergeCell ref="G185:G187"/>
    <mergeCell ref="A189:A194"/>
    <mergeCell ref="B189:B194"/>
    <mergeCell ref="F189:F194"/>
    <mergeCell ref="G189:G194"/>
    <mergeCell ref="A196:A201"/>
    <mergeCell ref="B196:B201"/>
    <mergeCell ref="F199:F201"/>
    <mergeCell ref="G199:G201"/>
    <mergeCell ref="A203:A205"/>
    <mergeCell ref="B203:B205"/>
    <mergeCell ref="C203:C204"/>
    <mergeCell ref="F203:F205"/>
    <mergeCell ref="G203:G205"/>
    <mergeCell ref="A207:A215"/>
    <mergeCell ref="B207:B215"/>
    <mergeCell ref="F209:F215"/>
    <mergeCell ref="G209:G215"/>
    <mergeCell ref="A217:A219"/>
    <mergeCell ref="B217:B219"/>
    <mergeCell ref="F217:F219"/>
    <mergeCell ref="G217:G219"/>
    <mergeCell ref="A221:A225"/>
    <mergeCell ref="B221:B225"/>
    <mergeCell ref="F221:F225"/>
    <mergeCell ref="G221:G225"/>
    <mergeCell ref="A227:A229"/>
    <mergeCell ref="B227:B229"/>
    <mergeCell ref="A231:A233"/>
    <mergeCell ref="B231:B233"/>
    <mergeCell ref="A235:A236"/>
    <mergeCell ref="B235:B236"/>
    <mergeCell ref="A238:A239"/>
    <mergeCell ref="B238:B239"/>
    <mergeCell ref="A241:A242"/>
    <mergeCell ref="B241:B242"/>
    <mergeCell ref="A246:A247"/>
    <mergeCell ref="B246:B247"/>
    <mergeCell ref="A249:A250"/>
    <mergeCell ref="B249:B250"/>
  </mergeCells>
  <printOptions/>
  <pageMargins left="0.1968503937007874" right="0.11811023622047245" top="0.15748031496062992" bottom="0.1968503937007874" header="0.31496062992125984" footer="0.31496062992125984"/>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DJ281"/>
  <sheetViews>
    <sheetView zoomScalePageLayoutView="0" workbookViewId="0" topLeftCell="A8">
      <pane xSplit="2" ySplit="4" topLeftCell="C208" activePane="bottomRight" state="frozen"/>
      <selection pane="topLeft" activeCell="A8" sqref="A8"/>
      <selection pane="topRight" activeCell="C8" sqref="C8"/>
      <selection pane="bottomLeft" activeCell="A12" sqref="A12"/>
      <selection pane="bottomRight" activeCell="K225" sqref="K225"/>
    </sheetView>
  </sheetViews>
  <sheetFormatPr defaultColWidth="25.7109375" defaultRowHeight="15"/>
  <cols>
    <col min="1" max="1" width="14.28125" style="28" customWidth="1"/>
    <col min="2" max="2" width="11.8515625" style="28" customWidth="1"/>
    <col min="3" max="3" width="39.00390625" style="28" customWidth="1"/>
    <col min="4" max="4" width="14.57421875" style="73" customWidth="1"/>
    <col min="5" max="5" width="19.140625" style="28" customWidth="1"/>
    <col min="6" max="6" width="7.421875" style="1" customWidth="1"/>
    <col min="7" max="7" width="7.28125" style="1" customWidth="1"/>
    <col min="8" max="8" width="9.28125" style="1" customWidth="1"/>
    <col min="9" max="9" width="9.140625" style="1" customWidth="1"/>
    <col min="10" max="114" width="25.7109375" style="13" customWidth="1"/>
    <col min="115" max="16384" width="25.7109375" style="1" customWidth="1"/>
  </cols>
  <sheetData>
    <row r="1" spans="3:9" ht="18" customHeight="1">
      <c r="C1" s="28" t="s">
        <v>24</v>
      </c>
      <c r="F1" s="29" t="s">
        <v>49</v>
      </c>
      <c r="I1" s="29"/>
    </row>
    <row r="2" spans="6:9" ht="18" customHeight="1">
      <c r="F2" s="29" t="s">
        <v>45</v>
      </c>
      <c r="I2" s="29"/>
    </row>
    <row r="3" spans="6:9" ht="16.5" customHeight="1">
      <c r="F3" s="29" t="s">
        <v>46</v>
      </c>
      <c r="I3" s="29"/>
    </row>
    <row r="4" spans="7:9" ht="15.75">
      <c r="G4" s="297"/>
      <c r="H4" s="297"/>
      <c r="I4" s="297"/>
    </row>
    <row r="5" spans="1:9" ht="15.75">
      <c r="A5" s="298" t="s">
        <v>19</v>
      </c>
      <c r="B5" s="298"/>
      <c r="C5" s="298"/>
      <c r="D5" s="298"/>
      <c r="E5" s="298"/>
      <c r="F5" s="298"/>
      <c r="G5" s="298"/>
      <c r="H5" s="298"/>
      <c r="I5" s="298"/>
    </row>
    <row r="6" spans="1:9" ht="15.75">
      <c r="A6" s="298" t="s">
        <v>290</v>
      </c>
      <c r="B6" s="298"/>
      <c r="C6" s="298"/>
      <c r="D6" s="298"/>
      <c r="E6" s="298"/>
      <c r="F6" s="298"/>
      <c r="G6" s="298"/>
      <c r="H6" s="298"/>
      <c r="I6" s="298"/>
    </row>
    <row r="7" spans="1:9" ht="26.25" customHeight="1">
      <c r="A7" s="298" t="s">
        <v>20</v>
      </c>
      <c r="B7" s="298"/>
      <c r="C7" s="298"/>
      <c r="D7" s="298"/>
      <c r="E7" s="298"/>
      <c r="F7" s="298"/>
      <c r="G7" s="298"/>
      <c r="H7" s="298"/>
      <c r="I7" s="298"/>
    </row>
    <row r="8" spans="1:10" ht="30" customHeight="1">
      <c r="A8" s="299" t="s">
        <v>21</v>
      </c>
      <c r="B8" s="294" t="s">
        <v>0</v>
      </c>
      <c r="C8" s="294"/>
      <c r="D8" s="294"/>
      <c r="E8" s="294"/>
      <c r="F8" s="294" t="s">
        <v>1</v>
      </c>
      <c r="G8" s="294"/>
      <c r="H8" s="294"/>
      <c r="I8" s="294"/>
      <c r="J8" s="36"/>
    </row>
    <row r="9" spans="1:10" ht="13.5" customHeight="1">
      <c r="A9" s="299"/>
      <c r="B9" s="299" t="s">
        <v>2</v>
      </c>
      <c r="C9" s="299"/>
      <c r="D9" s="299" t="s">
        <v>18</v>
      </c>
      <c r="E9" s="299"/>
      <c r="F9" s="294" t="s">
        <v>2</v>
      </c>
      <c r="G9" s="294"/>
      <c r="H9" s="294" t="s">
        <v>3</v>
      </c>
      <c r="I9" s="295"/>
      <c r="J9" s="36"/>
    </row>
    <row r="10" spans="1:10" ht="22.5" customHeight="1">
      <c r="A10" s="299"/>
      <c r="B10" s="299"/>
      <c r="C10" s="299"/>
      <c r="D10" s="299"/>
      <c r="E10" s="299"/>
      <c r="F10" s="294"/>
      <c r="G10" s="294"/>
      <c r="H10" s="295"/>
      <c r="I10" s="295"/>
      <c r="J10" s="36"/>
    </row>
    <row r="11" spans="1:10" ht="51" customHeight="1">
      <c r="A11" s="299"/>
      <c r="B11" s="16" t="s">
        <v>17</v>
      </c>
      <c r="C11" s="16" t="s">
        <v>4</v>
      </c>
      <c r="D11" s="16" t="s">
        <v>17</v>
      </c>
      <c r="E11" s="16" t="s">
        <v>256</v>
      </c>
      <c r="F11" s="14" t="s">
        <v>17</v>
      </c>
      <c r="G11" s="14" t="s">
        <v>4</v>
      </c>
      <c r="H11" s="14" t="s">
        <v>17</v>
      </c>
      <c r="I11" s="14" t="s">
        <v>6</v>
      </c>
      <c r="J11" s="36"/>
    </row>
    <row r="12" spans="1:10" ht="63" customHeight="1">
      <c r="A12" s="277" t="s">
        <v>63</v>
      </c>
      <c r="B12" s="296"/>
      <c r="C12" s="156" t="s">
        <v>201</v>
      </c>
      <c r="D12" s="59">
        <v>60991.75</v>
      </c>
      <c r="E12" s="105" t="s">
        <v>87</v>
      </c>
      <c r="F12" s="37"/>
      <c r="G12" s="32"/>
      <c r="H12" s="38"/>
      <c r="I12" s="15"/>
      <c r="J12" s="36"/>
    </row>
    <row r="13" spans="1:10" ht="34.5" customHeight="1">
      <c r="A13" s="277"/>
      <c r="B13" s="296"/>
      <c r="C13" s="158" t="s">
        <v>203</v>
      </c>
      <c r="D13" s="59">
        <v>18</v>
      </c>
      <c r="E13" s="105" t="s">
        <v>202</v>
      </c>
      <c r="F13" s="37"/>
      <c r="G13" s="32"/>
      <c r="H13" s="38"/>
      <c r="I13" s="15"/>
      <c r="J13" s="36"/>
    </row>
    <row r="14" spans="1:10" ht="36" customHeight="1">
      <c r="A14" s="277"/>
      <c r="B14" s="296"/>
      <c r="C14" s="158" t="s">
        <v>318</v>
      </c>
      <c r="D14" s="59">
        <v>1000</v>
      </c>
      <c r="E14" s="105" t="s">
        <v>317</v>
      </c>
      <c r="F14" s="37"/>
      <c r="G14" s="32"/>
      <c r="H14" s="38"/>
      <c r="I14" s="15"/>
      <c r="J14" s="36"/>
    </row>
    <row r="15" spans="1:10" ht="38.25" customHeight="1">
      <c r="A15" s="277"/>
      <c r="B15" s="296"/>
      <c r="C15" s="149" t="s">
        <v>176</v>
      </c>
      <c r="D15" s="60">
        <f>1460+3740+384</f>
        <v>5584</v>
      </c>
      <c r="E15" s="105" t="s">
        <v>175</v>
      </c>
      <c r="F15" s="37"/>
      <c r="G15" s="32"/>
      <c r="H15" s="38"/>
      <c r="I15" s="30"/>
      <c r="J15" s="36"/>
    </row>
    <row r="16" spans="1:114" s="46" customFormat="1" ht="20.25" customHeight="1">
      <c r="A16" s="153" t="s">
        <v>14</v>
      </c>
      <c r="B16" s="39">
        <f>SUM(B12:B15)</f>
        <v>0</v>
      </c>
      <c r="C16" s="2"/>
      <c r="D16" s="79">
        <f>SUM(D12:D15)</f>
        <v>67593.75</v>
      </c>
      <c r="E16" s="76"/>
      <c r="F16" s="40"/>
      <c r="G16" s="41"/>
      <c r="H16" s="42">
        <f>SUM(H12:H15)</f>
        <v>0</v>
      </c>
      <c r="I16" s="31"/>
      <c r="J16" s="43"/>
      <c r="K16" s="44"/>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row>
    <row r="17" spans="1:11" ht="111" customHeight="1">
      <c r="A17" s="277" t="s">
        <v>64</v>
      </c>
      <c r="B17" s="278">
        <f>10924+2387.2</f>
        <v>13311.2</v>
      </c>
      <c r="C17" s="152" t="s">
        <v>255</v>
      </c>
      <c r="D17" s="60">
        <f>65451.19+5971.8</f>
        <v>71422.99</v>
      </c>
      <c r="E17" s="105" t="s">
        <v>87</v>
      </c>
      <c r="F17" s="37"/>
      <c r="G17" s="32"/>
      <c r="H17" s="30"/>
      <c r="I17" s="15"/>
      <c r="J17" s="36"/>
      <c r="K17" s="47"/>
    </row>
    <row r="18" spans="1:11" ht="55.5" customHeight="1">
      <c r="A18" s="277"/>
      <c r="B18" s="279"/>
      <c r="C18" s="158" t="s">
        <v>319</v>
      </c>
      <c r="D18" s="60"/>
      <c r="E18" s="105"/>
      <c r="F18" s="37"/>
      <c r="G18" s="32"/>
      <c r="H18" s="30"/>
      <c r="I18" s="15"/>
      <c r="J18" s="36"/>
      <c r="K18" s="47"/>
    </row>
    <row r="19" spans="1:11" ht="39" customHeight="1">
      <c r="A19" s="277"/>
      <c r="B19" s="279"/>
      <c r="C19" s="158" t="s">
        <v>318</v>
      </c>
      <c r="D19" s="59">
        <v>500</v>
      </c>
      <c r="E19" s="105" t="s">
        <v>317</v>
      </c>
      <c r="F19" s="37"/>
      <c r="G19" s="32"/>
      <c r="H19" s="30"/>
      <c r="I19" s="15"/>
      <c r="J19" s="36"/>
      <c r="K19" s="47"/>
    </row>
    <row r="20" spans="1:11" ht="35.25" customHeight="1">
      <c r="A20" s="277"/>
      <c r="B20" s="279"/>
      <c r="C20" s="116" t="s">
        <v>203</v>
      </c>
      <c r="D20" s="59">
        <v>18</v>
      </c>
      <c r="E20" s="105" t="s">
        <v>202</v>
      </c>
      <c r="F20" s="37"/>
      <c r="G20" s="32"/>
      <c r="H20" s="30"/>
      <c r="I20" s="15"/>
      <c r="J20" s="36"/>
      <c r="K20" s="47"/>
    </row>
    <row r="21" spans="1:11" ht="37.5" customHeight="1">
      <c r="A21" s="277"/>
      <c r="B21" s="280"/>
      <c r="C21" s="149" t="s">
        <v>176</v>
      </c>
      <c r="D21" s="60">
        <f>1733.75+4080+432</f>
        <v>6245.75</v>
      </c>
      <c r="E21" s="105" t="s">
        <v>175</v>
      </c>
      <c r="F21" s="37"/>
      <c r="G21" s="32"/>
      <c r="H21" s="30"/>
      <c r="I21" s="30"/>
      <c r="J21" s="36"/>
      <c r="K21" s="47"/>
    </row>
    <row r="22" spans="1:114" s="46" customFormat="1" ht="22.5" customHeight="1">
      <c r="A22" s="153" t="s">
        <v>14</v>
      </c>
      <c r="B22" s="39">
        <f>SUM(B17)</f>
        <v>13311.2</v>
      </c>
      <c r="C22" s="152"/>
      <c r="D22" s="64">
        <f>SUM(D17:D21)</f>
        <v>78186.74</v>
      </c>
      <c r="E22" s="76"/>
      <c r="F22" s="40"/>
      <c r="G22" s="41"/>
      <c r="H22" s="31">
        <f>SUM(H17:H21)</f>
        <v>0</v>
      </c>
      <c r="I22" s="31"/>
      <c r="J22" s="43"/>
      <c r="K22" s="44"/>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row>
    <row r="23" spans="1:114" s="46" customFormat="1" ht="31.5" customHeight="1">
      <c r="A23" s="277" t="s">
        <v>65</v>
      </c>
      <c r="B23" s="278">
        <v>800</v>
      </c>
      <c r="C23" s="152" t="s">
        <v>197</v>
      </c>
      <c r="D23" s="16">
        <v>33070.22</v>
      </c>
      <c r="E23" s="105" t="s">
        <v>206</v>
      </c>
      <c r="F23" s="40"/>
      <c r="G23" s="41"/>
      <c r="H23" s="30"/>
      <c r="I23" s="15"/>
      <c r="J23" s="43"/>
      <c r="K23" s="44"/>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row>
    <row r="24" spans="1:114" s="46" customFormat="1" ht="31.5" customHeight="1">
      <c r="A24" s="277"/>
      <c r="B24" s="279"/>
      <c r="C24" s="116" t="s">
        <v>320</v>
      </c>
      <c r="D24" s="16"/>
      <c r="E24" s="105"/>
      <c r="F24" s="40"/>
      <c r="G24" s="41"/>
      <c r="H24" s="30"/>
      <c r="I24" s="15"/>
      <c r="J24" s="43"/>
      <c r="K24" s="44"/>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row>
    <row r="25" spans="1:114" s="46" customFormat="1" ht="49.5" customHeight="1">
      <c r="A25" s="277"/>
      <c r="B25" s="279"/>
      <c r="C25" s="116" t="s">
        <v>263</v>
      </c>
      <c r="D25" s="60">
        <f>9468.3+50998.33</f>
        <v>60466.630000000005</v>
      </c>
      <c r="E25" s="105" t="s">
        <v>87</v>
      </c>
      <c r="F25" s="40"/>
      <c r="G25" s="41"/>
      <c r="H25" s="30"/>
      <c r="I25" s="15"/>
      <c r="J25" s="43"/>
      <c r="K25" s="44"/>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row>
    <row r="26" spans="1:114" s="46" customFormat="1" ht="43.5" customHeight="1">
      <c r="A26" s="277"/>
      <c r="B26" s="279"/>
      <c r="C26" s="116" t="s">
        <v>266</v>
      </c>
      <c r="D26" s="60">
        <v>2160.6</v>
      </c>
      <c r="E26" s="105" t="s">
        <v>175</v>
      </c>
      <c r="F26" s="40"/>
      <c r="G26" s="41"/>
      <c r="H26" s="30"/>
      <c r="I26" s="15"/>
      <c r="J26" s="43"/>
      <c r="K26" s="44"/>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row>
    <row r="27" spans="1:114" s="46" customFormat="1" ht="38.25" customHeight="1">
      <c r="A27" s="277"/>
      <c r="B27" s="279"/>
      <c r="C27" s="158" t="s">
        <v>318</v>
      </c>
      <c r="D27" s="59">
        <v>1500</v>
      </c>
      <c r="E27" s="105" t="s">
        <v>317</v>
      </c>
      <c r="F27" s="40"/>
      <c r="G27" s="41"/>
      <c r="H27" s="30"/>
      <c r="I27" s="15"/>
      <c r="J27" s="43"/>
      <c r="K27" s="44"/>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row>
    <row r="28" spans="1:114" s="46" customFormat="1" ht="31.5" customHeight="1">
      <c r="A28" s="277"/>
      <c r="B28" s="280"/>
      <c r="C28" s="116" t="s">
        <v>203</v>
      </c>
      <c r="D28" s="59">
        <v>18</v>
      </c>
      <c r="E28" s="105" t="s">
        <v>202</v>
      </c>
      <c r="F28" s="40"/>
      <c r="G28" s="41"/>
      <c r="H28" s="30"/>
      <c r="I28" s="15"/>
      <c r="J28" s="43"/>
      <c r="K28" s="4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row>
    <row r="29" spans="1:114" s="46" customFormat="1" ht="20.25" customHeight="1">
      <c r="A29" s="277"/>
      <c r="B29" s="39">
        <f>SUM(B23)</f>
        <v>800</v>
      </c>
      <c r="C29" s="116"/>
      <c r="D29" s="77">
        <f>SUM(D23:D28)</f>
        <v>97215.45000000001</v>
      </c>
      <c r="E29" s="76"/>
      <c r="F29" s="48">
        <f>F23</f>
        <v>0</v>
      </c>
      <c r="G29" s="41"/>
      <c r="H29" s="31">
        <f>SUM(H23:H23)</f>
        <v>0</v>
      </c>
      <c r="I29" s="31"/>
      <c r="J29" s="43"/>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row>
    <row r="30" spans="1:11" ht="28.5" customHeight="1">
      <c r="A30" s="254" t="s">
        <v>66</v>
      </c>
      <c r="B30" s="278">
        <v>1400</v>
      </c>
      <c r="C30" s="156" t="s">
        <v>208</v>
      </c>
      <c r="D30" s="60">
        <v>24.3</v>
      </c>
      <c r="E30" s="105" t="s">
        <v>87</v>
      </c>
      <c r="F30" s="37"/>
      <c r="G30" s="32"/>
      <c r="H30" s="30"/>
      <c r="I30" s="15"/>
      <c r="J30" s="36"/>
      <c r="K30" s="47"/>
    </row>
    <row r="31" spans="1:11" ht="29.25" customHeight="1">
      <c r="A31" s="255"/>
      <c r="B31" s="280"/>
      <c r="C31" s="175" t="s">
        <v>243</v>
      </c>
      <c r="D31" s="143"/>
      <c r="E31" s="122"/>
      <c r="F31" s="37"/>
      <c r="G31" s="32"/>
      <c r="H31" s="30"/>
      <c r="I31" s="30"/>
      <c r="J31" s="36"/>
      <c r="K31" s="47"/>
    </row>
    <row r="32" spans="1:114" s="46" customFormat="1" ht="25.5" customHeight="1">
      <c r="A32" s="153" t="s">
        <v>15</v>
      </c>
      <c r="B32" s="39">
        <f>B30</f>
        <v>1400</v>
      </c>
      <c r="C32" s="2"/>
      <c r="D32" s="79">
        <f>D31+D30</f>
        <v>24.3</v>
      </c>
      <c r="E32" s="80"/>
      <c r="F32" s="40"/>
      <c r="G32" s="41"/>
      <c r="H32" s="31">
        <f>SUM(H30:H31)</f>
        <v>0</v>
      </c>
      <c r="I32" s="31"/>
      <c r="J32" s="43"/>
      <c r="K32" s="44"/>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row>
    <row r="33" spans="1:114" s="46" customFormat="1" ht="96.75" customHeight="1">
      <c r="A33" s="254" t="s">
        <v>67</v>
      </c>
      <c r="B33" s="278"/>
      <c r="C33" s="152" t="s">
        <v>204</v>
      </c>
      <c r="D33" s="59">
        <v>70702.76</v>
      </c>
      <c r="E33" s="105" t="s">
        <v>87</v>
      </c>
      <c r="F33" s="40"/>
      <c r="G33" s="41"/>
      <c r="H33" s="30"/>
      <c r="I33" s="15"/>
      <c r="J33" s="43"/>
      <c r="K33" s="4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row>
    <row r="34" spans="1:114" s="46" customFormat="1" ht="33" customHeight="1">
      <c r="A34" s="260"/>
      <c r="B34" s="279"/>
      <c r="C34" s="116" t="s">
        <v>203</v>
      </c>
      <c r="D34" s="59">
        <v>18</v>
      </c>
      <c r="E34" s="105" t="s">
        <v>202</v>
      </c>
      <c r="F34" s="40"/>
      <c r="G34" s="41"/>
      <c r="H34" s="30"/>
      <c r="I34" s="15"/>
      <c r="J34" s="43"/>
      <c r="K34" s="4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row>
    <row r="35" spans="1:114" s="46" customFormat="1" ht="39" customHeight="1">
      <c r="A35" s="260"/>
      <c r="B35" s="279"/>
      <c r="C35" s="158" t="s">
        <v>318</v>
      </c>
      <c r="D35" s="59">
        <v>1000</v>
      </c>
      <c r="E35" s="105" t="s">
        <v>317</v>
      </c>
      <c r="F35" s="40"/>
      <c r="G35" s="41"/>
      <c r="H35" s="30"/>
      <c r="I35" s="15"/>
      <c r="J35" s="43"/>
      <c r="K35" s="44"/>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row>
    <row r="36" spans="1:11" ht="38.25" customHeight="1">
      <c r="A36" s="255"/>
      <c r="B36" s="280"/>
      <c r="C36" s="149" t="s">
        <v>176</v>
      </c>
      <c r="D36" s="60">
        <f>1898+3740+432</f>
        <v>6070</v>
      </c>
      <c r="E36" s="105" t="s">
        <v>175</v>
      </c>
      <c r="F36" s="37"/>
      <c r="G36" s="32"/>
      <c r="H36" s="38"/>
      <c r="I36" s="32"/>
      <c r="J36" s="36"/>
      <c r="K36" s="47"/>
    </row>
    <row r="37" spans="1:114" s="46" customFormat="1" ht="19.5" customHeight="1">
      <c r="A37" s="153" t="s">
        <v>15</v>
      </c>
      <c r="B37" s="39">
        <f>B33</f>
        <v>0</v>
      </c>
      <c r="C37" s="152"/>
      <c r="D37" s="79">
        <f>SUM(D33:D36)</f>
        <v>77790.76</v>
      </c>
      <c r="E37" s="80"/>
      <c r="F37" s="40"/>
      <c r="G37" s="41"/>
      <c r="H37" s="42">
        <f>SUM(H33:H36)</f>
        <v>0</v>
      </c>
      <c r="I37" s="31"/>
      <c r="J37" s="43"/>
      <c r="K37" s="44"/>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row>
    <row r="38" spans="1:114" s="46" customFormat="1" ht="80.25" customHeight="1">
      <c r="A38" s="254" t="s">
        <v>68</v>
      </c>
      <c r="B38" s="278"/>
      <c r="C38" s="173" t="s">
        <v>204</v>
      </c>
      <c r="D38" s="59">
        <v>85389.43</v>
      </c>
      <c r="E38" s="105" t="s">
        <v>87</v>
      </c>
      <c r="F38" s="292"/>
      <c r="G38" s="293"/>
      <c r="H38" s="294"/>
      <c r="I38" s="294"/>
      <c r="J38" s="43"/>
      <c r="K38" s="44"/>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row>
    <row r="39" spans="1:114" s="46" customFormat="1" ht="65.25" customHeight="1">
      <c r="A39" s="260"/>
      <c r="B39" s="279"/>
      <c r="C39" s="149" t="s">
        <v>267</v>
      </c>
      <c r="D39" s="60">
        <f>1952.75+5100+432+2160.6</f>
        <v>9645.35</v>
      </c>
      <c r="E39" s="105" t="s">
        <v>175</v>
      </c>
      <c r="F39" s="292"/>
      <c r="G39" s="293"/>
      <c r="H39" s="294"/>
      <c r="I39" s="294"/>
      <c r="J39" s="43"/>
      <c r="K39" s="44"/>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row>
    <row r="40" spans="1:114" s="46" customFormat="1" ht="39.75" customHeight="1">
      <c r="A40" s="260"/>
      <c r="B40" s="279"/>
      <c r="C40" s="158" t="s">
        <v>318</v>
      </c>
      <c r="D40" s="59">
        <v>2000</v>
      </c>
      <c r="E40" s="105" t="s">
        <v>317</v>
      </c>
      <c r="F40" s="6"/>
      <c r="G40" s="41"/>
      <c r="H40" s="14"/>
      <c r="I40" s="14"/>
      <c r="J40" s="43"/>
      <c r="K40" s="44"/>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row>
    <row r="41" spans="1:114" s="46" customFormat="1" ht="29.25" customHeight="1">
      <c r="A41" s="255"/>
      <c r="B41" s="280"/>
      <c r="C41" s="116" t="s">
        <v>203</v>
      </c>
      <c r="D41" s="59">
        <v>20</v>
      </c>
      <c r="E41" s="105" t="s">
        <v>202</v>
      </c>
      <c r="F41" s="6"/>
      <c r="G41" s="41"/>
      <c r="H41" s="33"/>
      <c r="I41" s="33"/>
      <c r="J41" s="43"/>
      <c r="K41" s="44"/>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row>
    <row r="42" spans="1:114" s="46" customFormat="1" ht="22.5" customHeight="1">
      <c r="A42" s="153" t="s">
        <v>15</v>
      </c>
      <c r="B42" s="39">
        <f>SUM(B38:B39)</f>
        <v>0</v>
      </c>
      <c r="C42" s="159"/>
      <c r="D42" s="79">
        <f>SUM(D38:D41)</f>
        <v>97054.78</v>
      </c>
      <c r="E42" s="80"/>
      <c r="F42" s="50"/>
      <c r="G42" s="41"/>
      <c r="H42" s="33">
        <f>SUM(H38:H41)</f>
        <v>0</v>
      </c>
      <c r="I42" s="33"/>
      <c r="J42" s="43"/>
      <c r="K42" s="44"/>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row>
    <row r="43" spans="1:11" ht="27.75" customHeight="1">
      <c r="A43" s="254" t="s">
        <v>69</v>
      </c>
      <c r="B43" s="278">
        <f>121.6+203</f>
        <v>324.6</v>
      </c>
      <c r="C43" s="116" t="s">
        <v>203</v>
      </c>
      <c r="D43" s="59">
        <v>18</v>
      </c>
      <c r="E43" s="105" t="s">
        <v>202</v>
      </c>
      <c r="F43" s="6"/>
      <c r="G43" s="32"/>
      <c r="H43" s="14"/>
      <c r="I43" s="14"/>
      <c r="J43" s="36"/>
      <c r="K43" s="47"/>
    </row>
    <row r="44" spans="1:11" ht="21" customHeight="1">
      <c r="A44" s="260"/>
      <c r="B44" s="279"/>
      <c r="C44" s="116" t="s">
        <v>321</v>
      </c>
      <c r="D44" s="59"/>
      <c r="E44" s="105"/>
      <c r="F44" s="6"/>
      <c r="G44" s="32"/>
      <c r="H44" s="14"/>
      <c r="I44" s="14"/>
      <c r="J44" s="36"/>
      <c r="K44" s="47"/>
    </row>
    <row r="45" spans="1:11" ht="27.75" customHeight="1">
      <c r="A45" s="255"/>
      <c r="B45" s="280"/>
      <c r="C45" s="116" t="s">
        <v>208</v>
      </c>
      <c r="D45" s="60">
        <v>24.3</v>
      </c>
      <c r="E45" s="105" t="s">
        <v>87</v>
      </c>
      <c r="F45" s="6"/>
      <c r="G45" s="32"/>
      <c r="H45" s="14"/>
      <c r="I45" s="14"/>
      <c r="J45" s="36"/>
      <c r="K45" s="47"/>
    </row>
    <row r="46" spans="1:114" s="46" customFormat="1" ht="24" customHeight="1">
      <c r="A46" s="160" t="s">
        <v>15</v>
      </c>
      <c r="B46" s="39">
        <f>SUM(B43)</f>
        <v>324.6</v>
      </c>
      <c r="C46" s="159"/>
      <c r="D46" s="23">
        <f>SUM(D43:D45)</f>
        <v>42.3</v>
      </c>
      <c r="E46" s="139"/>
      <c r="F46" s="10"/>
      <c r="G46" s="41"/>
      <c r="H46" s="33">
        <f>SUM(H43:H45)</f>
        <v>0</v>
      </c>
      <c r="I46" s="33"/>
      <c r="J46" s="43"/>
      <c r="K46" s="44"/>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row>
    <row r="47" spans="1:114" s="46" customFormat="1" ht="48.75" customHeight="1">
      <c r="A47" s="254" t="s">
        <v>70</v>
      </c>
      <c r="B47" s="278"/>
      <c r="C47" s="152" t="s">
        <v>209</v>
      </c>
      <c r="D47" s="60">
        <v>55744.63</v>
      </c>
      <c r="E47" s="105" t="s">
        <v>87</v>
      </c>
      <c r="F47" s="10"/>
      <c r="G47" s="41"/>
      <c r="H47" s="33"/>
      <c r="I47" s="33"/>
      <c r="J47" s="43"/>
      <c r="K47" s="44"/>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row>
    <row r="48" spans="1:114" s="46" customFormat="1" ht="40.5" customHeight="1">
      <c r="A48" s="260"/>
      <c r="B48" s="279"/>
      <c r="C48" s="158" t="s">
        <v>318</v>
      </c>
      <c r="D48" s="59">
        <v>2000</v>
      </c>
      <c r="E48" s="105" t="s">
        <v>317</v>
      </c>
      <c r="F48" s="10"/>
      <c r="G48" s="41"/>
      <c r="H48" s="33"/>
      <c r="I48" s="33"/>
      <c r="J48" s="43"/>
      <c r="K48" s="44"/>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row>
    <row r="49" spans="1:10" ht="29.25" customHeight="1">
      <c r="A49" s="255"/>
      <c r="B49" s="280"/>
      <c r="C49" s="116" t="s">
        <v>203</v>
      </c>
      <c r="D49" s="59">
        <v>18</v>
      </c>
      <c r="E49" s="105" t="s">
        <v>202</v>
      </c>
      <c r="F49" s="51"/>
      <c r="G49" s="32"/>
      <c r="H49" s="14"/>
      <c r="I49" s="14"/>
      <c r="J49" s="36"/>
    </row>
    <row r="50" spans="1:114" s="46" customFormat="1" ht="27.75" customHeight="1">
      <c r="A50" s="153" t="s">
        <v>15</v>
      </c>
      <c r="B50" s="39">
        <f>SUM(B47:B49)</f>
        <v>0</v>
      </c>
      <c r="C50" s="2"/>
      <c r="D50" s="23">
        <f>SUM(D47:D49)</f>
        <v>57762.63</v>
      </c>
      <c r="E50" s="82"/>
      <c r="F50" s="50"/>
      <c r="G50" s="41"/>
      <c r="H50" s="33">
        <f>SUM(H49:H49)</f>
        <v>0</v>
      </c>
      <c r="I50" s="33"/>
      <c r="J50" s="43"/>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row>
    <row r="51" spans="1:10" ht="81" customHeight="1">
      <c r="A51" s="254" t="s">
        <v>71</v>
      </c>
      <c r="B51" s="278">
        <v>1118</v>
      </c>
      <c r="C51" s="173" t="s">
        <v>204</v>
      </c>
      <c r="D51" s="60">
        <f>80671.88</f>
        <v>80671.88</v>
      </c>
      <c r="E51" s="125" t="s">
        <v>87</v>
      </c>
      <c r="F51" s="51"/>
      <c r="G51" s="32"/>
      <c r="H51" s="14"/>
      <c r="I51" s="14"/>
      <c r="J51" s="36"/>
    </row>
    <row r="52" spans="1:10" ht="29.25" customHeight="1">
      <c r="A52" s="260"/>
      <c r="B52" s="279"/>
      <c r="C52" s="116" t="s">
        <v>203</v>
      </c>
      <c r="D52" s="59">
        <v>18</v>
      </c>
      <c r="E52" s="105" t="s">
        <v>202</v>
      </c>
      <c r="F52" s="51"/>
      <c r="G52" s="32"/>
      <c r="H52" s="14"/>
      <c r="I52" s="14"/>
      <c r="J52" s="36"/>
    </row>
    <row r="53" spans="1:10" ht="29.25" customHeight="1">
      <c r="A53" s="260"/>
      <c r="B53" s="279"/>
      <c r="C53" s="116" t="s">
        <v>29</v>
      </c>
      <c r="D53" s="59"/>
      <c r="E53" s="105"/>
      <c r="F53" s="51"/>
      <c r="G53" s="32"/>
      <c r="H53" s="14"/>
      <c r="I53" s="14"/>
      <c r="J53" s="36"/>
    </row>
    <row r="54" spans="1:10" ht="41.25" customHeight="1">
      <c r="A54" s="260"/>
      <c r="B54" s="279"/>
      <c r="C54" s="158" t="s">
        <v>318</v>
      </c>
      <c r="D54" s="59">
        <v>2000</v>
      </c>
      <c r="E54" s="105" t="s">
        <v>317</v>
      </c>
      <c r="F54" s="51"/>
      <c r="G54" s="32"/>
      <c r="H54" s="14"/>
      <c r="I54" s="14"/>
      <c r="J54" s="36"/>
    </row>
    <row r="55" spans="1:10" ht="41.25" customHeight="1">
      <c r="A55" s="255"/>
      <c r="B55" s="280"/>
      <c r="C55" s="149" t="s">
        <v>176</v>
      </c>
      <c r="D55" s="60">
        <f>1952.75+5100+432</f>
        <v>7484.75</v>
      </c>
      <c r="E55" s="105" t="s">
        <v>175</v>
      </c>
      <c r="F55" s="51"/>
      <c r="G55" s="32"/>
      <c r="H55" s="14"/>
      <c r="I55" s="14"/>
      <c r="J55" s="36"/>
    </row>
    <row r="56" spans="1:114" s="46" customFormat="1" ht="27" customHeight="1">
      <c r="A56" s="153" t="s">
        <v>15</v>
      </c>
      <c r="B56" s="39">
        <f>SUM(B51:B52)</f>
        <v>1118</v>
      </c>
      <c r="C56" s="116"/>
      <c r="D56" s="23">
        <f>SUM(D51:D55)</f>
        <v>90174.63</v>
      </c>
      <c r="E56" s="82"/>
      <c r="F56" s="50"/>
      <c r="G56" s="41"/>
      <c r="H56" s="33">
        <f>H51</f>
        <v>0</v>
      </c>
      <c r="I56" s="33"/>
      <c r="J56" s="43"/>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row>
    <row r="57" spans="1:114" s="46" customFormat="1" ht="30" customHeight="1">
      <c r="A57" s="254" t="s">
        <v>7</v>
      </c>
      <c r="B57" s="278"/>
      <c r="C57" s="152" t="s">
        <v>210</v>
      </c>
      <c r="D57" s="60">
        <v>4746.3</v>
      </c>
      <c r="E57" s="105" t="s">
        <v>87</v>
      </c>
      <c r="F57" s="50"/>
      <c r="G57" s="41"/>
      <c r="H57" s="14"/>
      <c r="I57" s="14"/>
      <c r="J57" s="43"/>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row>
    <row r="58" spans="1:10" ht="39" customHeight="1">
      <c r="A58" s="255"/>
      <c r="B58" s="280"/>
      <c r="C58" s="158" t="s">
        <v>318</v>
      </c>
      <c r="D58" s="59">
        <v>1000</v>
      </c>
      <c r="E58" s="105" t="s">
        <v>317</v>
      </c>
      <c r="F58" s="6"/>
      <c r="G58" s="32"/>
      <c r="H58" s="14"/>
      <c r="I58" s="14"/>
      <c r="J58" s="36"/>
    </row>
    <row r="59" spans="1:114" s="46" customFormat="1" ht="23.25" customHeight="1">
      <c r="A59" s="153" t="s">
        <v>15</v>
      </c>
      <c r="B59" s="39">
        <f>SUM(B57)</f>
        <v>0</v>
      </c>
      <c r="C59" s="152"/>
      <c r="D59" s="22">
        <f>SUM(D57:D58)</f>
        <v>5746.3</v>
      </c>
      <c r="E59" s="60"/>
      <c r="F59" s="50"/>
      <c r="G59" s="41"/>
      <c r="H59" s="33">
        <f>SUM(H57:H58)</f>
        <v>0</v>
      </c>
      <c r="I59" s="33"/>
      <c r="J59" s="43"/>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row>
    <row r="60" spans="1:114" s="46" customFormat="1" ht="26.25" customHeight="1">
      <c r="A60" s="254" t="s">
        <v>16</v>
      </c>
      <c r="B60" s="278"/>
      <c r="C60" s="159" t="s">
        <v>208</v>
      </c>
      <c r="D60" s="60">
        <v>24.3</v>
      </c>
      <c r="E60" s="105" t="s">
        <v>87</v>
      </c>
      <c r="F60" s="50"/>
      <c r="G60" s="41"/>
      <c r="H60" s="14"/>
      <c r="I60" s="14"/>
      <c r="J60" s="43"/>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row>
    <row r="61" spans="1:10" ht="21.75" customHeight="1">
      <c r="A61" s="255"/>
      <c r="B61" s="280"/>
      <c r="C61" s="159"/>
      <c r="D61" s="78"/>
      <c r="E61" s="59"/>
      <c r="F61" s="6"/>
      <c r="G61" s="32"/>
      <c r="H61" s="14"/>
      <c r="I61" s="14"/>
      <c r="J61" s="36"/>
    </row>
    <row r="62" spans="1:114" s="46" customFormat="1" ht="27.75" customHeight="1">
      <c r="A62" s="153" t="s">
        <v>15</v>
      </c>
      <c r="B62" s="39">
        <f>SUM(B60:B60)</f>
        <v>0</v>
      </c>
      <c r="C62" s="161"/>
      <c r="D62" s="23">
        <f>SUM(D60:D61)</f>
        <v>24.3</v>
      </c>
      <c r="E62" s="82"/>
      <c r="F62" s="50"/>
      <c r="G62" s="41"/>
      <c r="H62" s="33">
        <f>SUM(H60:H61)</f>
        <v>0</v>
      </c>
      <c r="I62" s="33"/>
      <c r="J62" s="43"/>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row>
    <row r="63" spans="1:114" s="46" customFormat="1" ht="173.25" customHeight="1">
      <c r="A63" s="254" t="s">
        <v>8</v>
      </c>
      <c r="B63" s="278">
        <f>20400+19370+29094</f>
        <v>68864</v>
      </c>
      <c r="C63" s="162" t="s">
        <v>322</v>
      </c>
      <c r="D63" s="60"/>
      <c r="E63" s="59"/>
      <c r="F63" s="50"/>
      <c r="G63" s="41"/>
      <c r="H63" s="33"/>
      <c r="I63" s="33"/>
      <c r="J63" s="43"/>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row>
    <row r="64" spans="1:114" s="46" customFormat="1" ht="92.25" customHeight="1">
      <c r="A64" s="260"/>
      <c r="B64" s="279"/>
      <c r="C64" s="173" t="s">
        <v>255</v>
      </c>
      <c r="D64" s="59">
        <f>75682.87+6315.9</f>
        <v>81998.76999999999</v>
      </c>
      <c r="E64" s="105" t="s">
        <v>87</v>
      </c>
      <c r="F64" s="50"/>
      <c r="G64" s="41"/>
      <c r="H64" s="33"/>
      <c r="I64" s="33"/>
      <c r="J64" s="43"/>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row>
    <row r="65" spans="1:114" s="46" customFormat="1" ht="27" customHeight="1">
      <c r="A65" s="260"/>
      <c r="B65" s="279"/>
      <c r="C65" s="159" t="s">
        <v>208</v>
      </c>
      <c r="D65" s="60">
        <v>18</v>
      </c>
      <c r="E65" s="105" t="s">
        <v>87</v>
      </c>
      <c r="F65" s="50"/>
      <c r="G65" s="41"/>
      <c r="H65" s="33"/>
      <c r="I65" s="33"/>
      <c r="J65" s="43"/>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row>
    <row r="66" spans="1:114" s="46" customFormat="1" ht="34.5" customHeight="1">
      <c r="A66" s="260"/>
      <c r="B66" s="279"/>
      <c r="C66" s="161" t="s">
        <v>197</v>
      </c>
      <c r="D66" s="60">
        <v>33992.14</v>
      </c>
      <c r="E66" s="105" t="s">
        <v>257</v>
      </c>
      <c r="F66" s="50"/>
      <c r="G66" s="41"/>
      <c r="H66" s="33"/>
      <c r="I66" s="33"/>
      <c r="J66" s="43"/>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row>
    <row r="67" spans="1:114" s="46" customFormat="1" ht="40.5" customHeight="1">
      <c r="A67" s="260"/>
      <c r="B67" s="279"/>
      <c r="C67" s="158" t="s">
        <v>318</v>
      </c>
      <c r="D67" s="59">
        <v>2000</v>
      </c>
      <c r="E67" s="105" t="s">
        <v>317</v>
      </c>
      <c r="F67" s="50"/>
      <c r="G67" s="41"/>
      <c r="H67" s="33"/>
      <c r="I67" s="33"/>
      <c r="J67" s="43"/>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row>
    <row r="68" spans="1:10" ht="36.75" customHeight="1">
      <c r="A68" s="255"/>
      <c r="B68" s="280"/>
      <c r="C68" s="149" t="s">
        <v>176</v>
      </c>
      <c r="D68" s="60">
        <f>1825+4080+384</f>
        <v>6289</v>
      </c>
      <c r="E68" s="105" t="s">
        <v>175</v>
      </c>
      <c r="F68" s="5"/>
      <c r="G68" s="32"/>
      <c r="H68" s="14"/>
      <c r="I68" s="14"/>
      <c r="J68" s="36"/>
    </row>
    <row r="69" spans="1:114" s="46" customFormat="1" ht="31.5" customHeight="1">
      <c r="A69" s="153" t="s">
        <v>15</v>
      </c>
      <c r="B69" s="39">
        <f>SUM(B63)</f>
        <v>68864</v>
      </c>
      <c r="C69" s="152"/>
      <c r="D69" s="22">
        <f>SUM(D63:D68)</f>
        <v>124297.90999999999</v>
      </c>
      <c r="E69" s="82"/>
      <c r="F69" s="50"/>
      <c r="G69" s="41"/>
      <c r="H69" s="33">
        <f>SUM(H64:H68)</f>
        <v>0</v>
      </c>
      <c r="I69" s="33"/>
      <c r="J69" s="43"/>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row>
    <row r="70" spans="1:114" s="46" customFormat="1" ht="31.5" customHeight="1">
      <c r="A70" s="254" t="s">
        <v>9</v>
      </c>
      <c r="B70" s="278">
        <f>8000+500</f>
        <v>8500</v>
      </c>
      <c r="C70" s="154" t="s">
        <v>323</v>
      </c>
      <c r="D70" s="59"/>
      <c r="E70" s="74"/>
      <c r="F70" s="50"/>
      <c r="G70" s="41"/>
      <c r="H70" s="33"/>
      <c r="I70" s="33"/>
      <c r="J70" s="43"/>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row>
    <row r="71" spans="1:10" ht="32.25" customHeight="1">
      <c r="A71" s="255"/>
      <c r="B71" s="280"/>
      <c r="C71" s="152" t="s">
        <v>205</v>
      </c>
      <c r="D71" s="60">
        <v>9468.3</v>
      </c>
      <c r="E71" s="105" t="s">
        <v>87</v>
      </c>
      <c r="F71" s="5"/>
      <c r="G71" s="32"/>
      <c r="H71" s="12"/>
      <c r="I71" s="14"/>
      <c r="J71" s="36"/>
    </row>
    <row r="72" spans="1:114" s="46" customFormat="1" ht="19.5" customHeight="1">
      <c r="A72" s="153" t="s">
        <v>15</v>
      </c>
      <c r="B72" s="39">
        <f>B70</f>
        <v>8500</v>
      </c>
      <c r="C72" s="159"/>
      <c r="D72" s="22">
        <f>SUM(D70:D71)</f>
        <v>9468.3</v>
      </c>
      <c r="E72" s="82"/>
      <c r="F72" s="50">
        <f>F71</f>
        <v>0</v>
      </c>
      <c r="G72" s="41"/>
      <c r="H72" s="33">
        <f>SUM(H70:H71)</f>
        <v>0</v>
      </c>
      <c r="I72" s="33"/>
      <c r="J72" s="43"/>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row>
    <row r="73" spans="1:114" s="46" customFormat="1" ht="32.25" customHeight="1">
      <c r="A73" s="254" t="s">
        <v>10</v>
      </c>
      <c r="B73" s="278"/>
      <c r="C73" s="152" t="s">
        <v>205</v>
      </c>
      <c r="D73" s="60">
        <v>4746.3</v>
      </c>
      <c r="E73" s="105" t="s">
        <v>87</v>
      </c>
      <c r="F73" s="50"/>
      <c r="G73" s="41"/>
      <c r="H73" s="33"/>
      <c r="I73" s="33"/>
      <c r="J73" s="43"/>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row>
    <row r="74" spans="1:114" s="46" customFormat="1" ht="39" customHeight="1">
      <c r="A74" s="260"/>
      <c r="B74" s="279"/>
      <c r="C74" s="158" t="s">
        <v>318</v>
      </c>
      <c r="D74" s="59">
        <v>1500</v>
      </c>
      <c r="E74" s="105" t="s">
        <v>317</v>
      </c>
      <c r="F74" s="50"/>
      <c r="G74" s="41"/>
      <c r="H74" s="33"/>
      <c r="I74" s="33"/>
      <c r="J74" s="43"/>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row>
    <row r="75" spans="1:10" ht="48" customHeight="1">
      <c r="A75" s="255"/>
      <c r="B75" s="280"/>
      <c r="C75" s="116" t="s">
        <v>266</v>
      </c>
      <c r="D75" s="16">
        <v>2160.6</v>
      </c>
      <c r="E75" s="122" t="s">
        <v>175</v>
      </c>
      <c r="F75" s="5"/>
      <c r="G75" s="32"/>
      <c r="H75" s="14"/>
      <c r="I75" s="14"/>
      <c r="J75" s="36"/>
    </row>
    <row r="76" spans="1:114" s="46" customFormat="1" ht="21.75" customHeight="1">
      <c r="A76" s="153" t="s">
        <v>15</v>
      </c>
      <c r="B76" s="39">
        <f>SUM(B73:B73)</f>
        <v>0</v>
      </c>
      <c r="C76" s="152"/>
      <c r="D76" s="22">
        <f>SUM(D73:D75)</f>
        <v>8406.9</v>
      </c>
      <c r="E76" s="60"/>
      <c r="F76" s="50"/>
      <c r="G76" s="41"/>
      <c r="H76" s="33">
        <f>SUM(H73:H75)</f>
        <v>0</v>
      </c>
      <c r="I76" s="33"/>
      <c r="J76" s="43"/>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row>
    <row r="77" spans="1:114" s="46" customFormat="1" ht="24" customHeight="1">
      <c r="A77" s="254" t="s">
        <v>11</v>
      </c>
      <c r="B77" s="278"/>
      <c r="C77" s="152" t="s">
        <v>211</v>
      </c>
      <c r="D77" s="60">
        <v>24.3</v>
      </c>
      <c r="E77" s="105" t="s">
        <v>87</v>
      </c>
      <c r="F77" s="5"/>
      <c r="G77" s="32"/>
      <c r="H77" s="14"/>
      <c r="I77" s="14"/>
      <c r="J77" s="43"/>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row>
    <row r="78" spans="1:10" ht="37.5" customHeight="1">
      <c r="A78" s="255"/>
      <c r="B78" s="280"/>
      <c r="C78" s="158" t="s">
        <v>318</v>
      </c>
      <c r="D78" s="59">
        <v>1000</v>
      </c>
      <c r="E78" s="105" t="s">
        <v>317</v>
      </c>
      <c r="F78" s="5"/>
      <c r="G78" s="32"/>
      <c r="H78" s="14"/>
      <c r="I78" s="14"/>
      <c r="J78" s="36"/>
    </row>
    <row r="79" spans="1:114" s="46" customFormat="1" ht="23.25" customHeight="1">
      <c r="A79" s="153" t="s">
        <v>15</v>
      </c>
      <c r="B79" s="52">
        <f>SUM(B77:B77)</f>
        <v>0</v>
      </c>
      <c r="C79" s="116"/>
      <c r="D79" s="22">
        <f>SUM(D77:D78)</f>
        <v>1024.3</v>
      </c>
      <c r="E79" s="60"/>
      <c r="F79" s="50">
        <f>F78+F77</f>
        <v>0</v>
      </c>
      <c r="G79" s="41"/>
      <c r="H79" s="33">
        <f>SUM(H77:H78)</f>
        <v>0</v>
      </c>
      <c r="I79" s="33"/>
      <c r="J79" s="43"/>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row>
    <row r="80" spans="1:114" s="46" customFormat="1" ht="28.5" customHeight="1">
      <c r="A80" s="254" t="s">
        <v>12</v>
      </c>
      <c r="B80" s="278"/>
      <c r="C80" s="152" t="s">
        <v>211</v>
      </c>
      <c r="D80" s="60">
        <v>24.3</v>
      </c>
      <c r="E80" s="105" t="s">
        <v>87</v>
      </c>
      <c r="F80" s="50"/>
      <c r="G80" s="41"/>
      <c r="H80" s="33"/>
      <c r="I80" s="33"/>
      <c r="J80" s="43"/>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row>
    <row r="81" spans="1:10" ht="29.25" customHeight="1">
      <c r="A81" s="255"/>
      <c r="B81" s="280"/>
      <c r="C81" s="158" t="s">
        <v>318</v>
      </c>
      <c r="D81" s="59">
        <v>1000</v>
      </c>
      <c r="E81" s="105" t="s">
        <v>317</v>
      </c>
      <c r="F81" s="5"/>
      <c r="G81" s="32"/>
      <c r="H81" s="14"/>
      <c r="I81" s="14"/>
      <c r="J81" s="36"/>
    </row>
    <row r="82" spans="1:114" s="46" customFormat="1" ht="24.75" customHeight="1">
      <c r="A82" s="153" t="s">
        <v>15</v>
      </c>
      <c r="B82" s="39">
        <f>SUM(B80:B80)</f>
        <v>0</v>
      </c>
      <c r="C82" s="116"/>
      <c r="D82" s="22">
        <f>SUM(D80:D81)</f>
        <v>1024.3</v>
      </c>
      <c r="E82" s="82"/>
      <c r="F82" s="50"/>
      <c r="G82" s="41"/>
      <c r="H82" s="33">
        <f>SUM(H80:H81)</f>
        <v>0</v>
      </c>
      <c r="I82" s="33"/>
      <c r="J82" s="43"/>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row>
    <row r="83" spans="1:114" s="46" customFormat="1" ht="83.25" customHeight="1">
      <c r="A83" s="254" t="s">
        <v>13</v>
      </c>
      <c r="B83" s="278"/>
      <c r="C83" s="152" t="s">
        <v>201</v>
      </c>
      <c r="D83" s="59">
        <v>65980.76</v>
      </c>
      <c r="E83" s="105" t="s">
        <v>87</v>
      </c>
      <c r="F83" s="50"/>
      <c r="G83" s="41"/>
      <c r="H83" s="14"/>
      <c r="I83" s="14"/>
      <c r="J83" s="43"/>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row>
    <row r="84" spans="1:114" s="46" customFormat="1" ht="41.25" customHeight="1">
      <c r="A84" s="260"/>
      <c r="B84" s="279"/>
      <c r="C84" s="158" t="s">
        <v>318</v>
      </c>
      <c r="D84" s="59">
        <v>1000</v>
      </c>
      <c r="E84" s="105" t="s">
        <v>317</v>
      </c>
      <c r="F84" s="50"/>
      <c r="G84" s="41"/>
      <c r="H84" s="14"/>
      <c r="I84" s="14"/>
      <c r="J84" s="43"/>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row>
    <row r="85" spans="1:114" s="46" customFormat="1" ht="33.75" customHeight="1">
      <c r="A85" s="260"/>
      <c r="B85" s="279"/>
      <c r="C85" s="116" t="s">
        <v>203</v>
      </c>
      <c r="D85" s="59">
        <v>18</v>
      </c>
      <c r="E85" s="105" t="s">
        <v>202</v>
      </c>
      <c r="F85" s="50"/>
      <c r="G85" s="41"/>
      <c r="H85" s="14"/>
      <c r="I85" s="14"/>
      <c r="J85" s="43"/>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row>
    <row r="86" spans="1:10" ht="37.5" customHeight="1">
      <c r="A86" s="255"/>
      <c r="B86" s="280"/>
      <c r="C86" s="149" t="s">
        <v>176</v>
      </c>
      <c r="D86" s="60">
        <f>1733.75+4080+432</f>
        <v>6245.75</v>
      </c>
      <c r="E86" s="105" t="s">
        <v>175</v>
      </c>
      <c r="F86" s="5"/>
      <c r="G86" s="32"/>
      <c r="H86" s="14"/>
      <c r="I86" s="14"/>
      <c r="J86" s="36"/>
    </row>
    <row r="87" spans="1:10" ht="21.75" customHeight="1">
      <c r="A87" s="153" t="s">
        <v>15</v>
      </c>
      <c r="B87" s="39">
        <f>SUM(B83:B83)</f>
        <v>0</v>
      </c>
      <c r="C87" s="116"/>
      <c r="D87" s="22">
        <f>SUM(D83:D86)</f>
        <v>73244.51</v>
      </c>
      <c r="E87" s="82"/>
      <c r="F87" s="50">
        <f>F86</f>
        <v>0</v>
      </c>
      <c r="G87" s="32"/>
      <c r="H87" s="33">
        <f>SUM(H83:H86)</f>
        <v>0</v>
      </c>
      <c r="I87" s="14"/>
      <c r="J87" s="36"/>
    </row>
    <row r="88" spans="1:10" s="56" customFormat="1" ht="27" customHeight="1">
      <c r="A88" s="258" t="s">
        <v>83</v>
      </c>
      <c r="B88" s="278">
        <f>2866+8420</f>
        <v>11286</v>
      </c>
      <c r="C88" s="116" t="s">
        <v>203</v>
      </c>
      <c r="D88" s="59">
        <v>18</v>
      </c>
      <c r="E88" s="105" t="s">
        <v>202</v>
      </c>
      <c r="F88" s="54"/>
      <c r="G88" s="4"/>
      <c r="H88" s="10"/>
      <c r="I88" s="11"/>
      <c r="J88" s="55"/>
    </row>
    <row r="89" spans="1:10" s="56" customFormat="1" ht="118.5" customHeight="1">
      <c r="A89" s="263"/>
      <c r="B89" s="279"/>
      <c r="C89" s="158" t="s">
        <v>259</v>
      </c>
      <c r="D89" s="59"/>
      <c r="E89" s="105"/>
      <c r="F89" s="54"/>
      <c r="G89" s="4"/>
      <c r="H89" s="10"/>
      <c r="I89" s="11"/>
      <c r="J89" s="55"/>
    </row>
    <row r="90" spans="1:10" s="56" customFormat="1" ht="39.75" customHeight="1">
      <c r="A90" s="263"/>
      <c r="B90" s="279"/>
      <c r="C90" s="158" t="s">
        <v>318</v>
      </c>
      <c r="D90" s="59">
        <v>1500</v>
      </c>
      <c r="E90" s="105" t="s">
        <v>317</v>
      </c>
      <c r="F90" s="54"/>
      <c r="G90" s="4"/>
      <c r="H90" s="10"/>
      <c r="I90" s="11"/>
      <c r="J90" s="55"/>
    </row>
    <row r="91" spans="1:10" ht="34.5" customHeight="1">
      <c r="A91" s="259"/>
      <c r="B91" s="280"/>
      <c r="C91" s="152" t="s">
        <v>258</v>
      </c>
      <c r="D91" s="60">
        <f>4746.3+11751.2</f>
        <v>16497.5</v>
      </c>
      <c r="E91" s="105" t="s">
        <v>87</v>
      </c>
      <c r="F91" s="5"/>
      <c r="G91" s="32"/>
      <c r="H91" s="14"/>
      <c r="I91" s="14"/>
      <c r="J91" s="43"/>
    </row>
    <row r="92" spans="1:114" s="46" customFormat="1" ht="18" customHeight="1">
      <c r="A92" s="153" t="s">
        <v>15</v>
      </c>
      <c r="B92" s="39">
        <f>SUM(B88:B88)</f>
        <v>11286</v>
      </c>
      <c r="C92" s="116"/>
      <c r="D92" s="22">
        <f>SUM(D88:D91)</f>
        <v>18015.5</v>
      </c>
      <c r="E92" s="23"/>
      <c r="F92" s="50">
        <f>F91</f>
        <v>0</v>
      </c>
      <c r="G92" s="41"/>
      <c r="H92" s="9">
        <f>SUM(H88:H91)</f>
        <v>0</v>
      </c>
      <c r="I92" s="33"/>
      <c r="J92" s="43"/>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row>
    <row r="93" spans="1:114" s="46" customFormat="1" ht="33" customHeight="1">
      <c r="A93" s="258" t="s">
        <v>82</v>
      </c>
      <c r="B93" s="278"/>
      <c r="C93" s="152" t="s">
        <v>265</v>
      </c>
      <c r="D93" s="60">
        <f>4746.3+79120</f>
        <v>83866.3</v>
      </c>
      <c r="E93" s="105" t="s">
        <v>87</v>
      </c>
      <c r="F93" s="50"/>
      <c r="G93" s="41"/>
      <c r="H93" s="14"/>
      <c r="I93" s="14"/>
      <c r="J93" s="43"/>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row>
    <row r="94" spans="1:10" ht="35.25" customHeight="1">
      <c r="A94" s="259"/>
      <c r="B94" s="280"/>
      <c r="C94" s="158" t="s">
        <v>318</v>
      </c>
      <c r="D94" s="59">
        <v>1000</v>
      </c>
      <c r="E94" s="105" t="s">
        <v>317</v>
      </c>
      <c r="F94" s="5"/>
      <c r="G94" s="32"/>
      <c r="H94" s="33"/>
      <c r="I94" s="33"/>
      <c r="J94" s="43"/>
    </row>
    <row r="95" spans="1:114" s="46" customFormat="1" ht="30.75" customHeight="1">
      <c r="A95" s="153" t="s">
        <v>15</v>
      </c>
      <c r="B95" s="39">
        <f>SUM(B93:B93)</f>
        <v>0</v>
      </c>
      <c r="C95" s="116"/>
      <c r="D95" s="22">
        <f>SUM(D93:D94)</f>
        <v>84866.3</v>
      </c>
      <c r="E95" s="23"/>
      <c r="F95" s="50">
        <f>F94</f>
        <v>0</v>
      </c>
      <c r="G95" s="41"/>
      <c r="H95" s="33">
        <f>SUM(H93:H94)</f>
        <v>0</v>
      </c>
      <c r="I95" s="33"/>
      <c r="J95" s="43"/>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row>
    <row r="96" spans="1:114" s="46" customFormat="1" ht="30.75" customHeight="1">
      <c r="A96" s="163" t="s">
        <v>44</v>
      </c>
      <c r="B96" s="22">
        <f>B95+B92+B87+B82+B79+B76+B72+B69+B62+B59+B56+B50+B46+B42+B37+B32+B29+B22+B16</f>
        <v>105603.8</v>
      </c>
      <c r="C96" s="3"/>
      <c r="D96" s="22">
        <f>D95+D92+D87+D82+D79+D76+D72+D69+D62+D59+D56+D50+D46+D42+D37+D32+D29+D22+D16</f>
        <v>891963.96</v>
      </c>
      <c r="E96" s="23"/>
      <c r="F96" s="22">
        <f>F95+F92+F87+F82+F79+F76+F72+F69+F62+F59+F56+F50+F46+F42+F37+F32+F29+F22+F16</f>
        <v>0</v>
      </c>
      <c r="G96" s="4"/>
      <c r="H96" s="22">
        <f>H95+H92+H87+H82+H79+H76+H72+H69+H62+H59+H56+H50+H46+H42+H37+H32+H29+H22+H16</f>
        <v>0</v>
      </c>
      <c r="I96" s="120"/>
      <c r="J96" s="43"/>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row>
    <row r="97" spans="1:114" s="46" customFormat="1" ht="256.5" customHeight="1">
      <c r="A97" s="254" t="s">
        <v>72</v>
      </c>
      <c r="B97" s="278">
        <f>115+1800</f>
        <v>1915</v>
      </c>
      <c r="C97" s="156" t="s">
        <v>294</v>
      </c>
      <c r="D97" s="122">
        <f>448611.18+10526.5+15338.52+15646.78</f>
        <v>490122.98000000004</v>
      </c>
      <c r="E97" s="105" t="s">
        <v>87</v>
      </c>
      <c r="F97" s="118"/>
      <c r="G97" s="119"/>
      <c r="H97" s="33"/>
      <c r="I97" s="120"/>
      <c r="J97" s="43"/>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row>
    <row r="98" spans="1:114" s="46" customFormat="1" ht="124.5" customHeight="1">
      <c r="A98" s="260"/>
      <c r="B98" s="279"/>
      <c r="C98" s="156" t="s">
        <v>90</v>
      </c>
      <c r="D98" s="122">
        <v>151722</v>
      </c>
      <c r="E98" s="105" t="s">
        <v>80</v>
      </c>
      <c r="F98" s="118"/>
      <c r="G98" s="119"/>
      <c r="H98" s="33"/>
      <c r="I98" s="120"/>
      <c r="J98" s="43"/>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row>
    <row r="99" spans="1:114" s="46" customFormat="1" ht="28.5" customHeight="1">
      <c r="A99" s="260"/>
      <c r="B99" s="279"/>
      <c r="C99" s="162" t="s">
        <v>81</v>
      </c>
      <c r="D99" s="144">
        <f>673.92</f>
        <v>673.92</v>
      </c>
      <c r="E99" s="105" t="s">
        <v>91</v>
      </c>
      <c r="F99" s="118"/>
      <c r="G99" s="119"/>
      <c r="H99" s="33"/>
      <c r="I99" s="120"/>
      <c r="J99" s="43"/>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row>
    <row r="100" spans="1:114" s="46" customFormat="1" ht="36.75" customHeight="1">
      <c r="A100" s="260"/>
      <c r="B100" s="279"/>
      <c r="C100" s="128" t="s">
        <v>81</v>
      </c>
      <c r="D100" s="109">
        <v>1280.45</v>
      </c>
      <c r="E100" s="59" t="s">
        <v>92</v>
      </c>
      <c r="F100" s="118"/>
      <c r="G100" s="119"/>
      <c r="H100" s="33"/>
      <c r="I100" s="120"/>
      <c r="J100" s="43"/>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row>
    <row r="101" spans="1:114" s="46" customFormat="1" ht="45.75" customHeight="1">
      <c r="A101" s="260"/>
      <c r="B101" s="279"/>
      <c r="C101" s="146" t="s">
        <v>150</v>
      </c>
      <c r="D101" s="109">
        <f>240+10525+10943</f>
        <v>21708</v>
      </c>
      <c r="E101" s="106" t="s">
        <v>131</v>
      </c>
      <c r="F101" s="5"/>
      <c r="G101" s="14"/>
      <c r="H101" s="12"/>
      <c r="I101" s="15"/>
      <c r="J101" s="43"/>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row>
    <row r="102" spans="1:114" s="46" customFormat="1" ht="173.25" customHeight="1">
      <c r="A102" s="260"/>
      <c r="B102" s="279"/>
      <c r="C102" s="146" t="s">
        <v>133</v>
      </c>
      <c r="D102" s="109">
        <f>57558.22+112102.29+36683.7</f>
        <v>206344.21000000002</v>
      </c>
      <c r="E102" s="106" t="s">
        <v>132</v>
      </c>
      <c r="F102" s="5"/>
      <c r="G102" s="14"/>
      <c r="H102" s="12"/>
      <c r="I102" s="15"/>
      <c r="J102" s="43"/>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row>
    <row r="103" spans="1:114" s="46" customFormat="1" ht="30.75" customHeight="1">
      <c r="A103" s="260"/>
      <c r="B103" s="279"/>
      <c r="C103" s="146" t="s">
        <v>291</v>
      </c>
      <c r="D103" s="109"/>
      <c r="E103" s="106"/>
      <c r="F103" s="5"/>
      <c r="G103" s="14"/>
      <c r="H103" s="12"/>
      <c r="I103" s="15"/>
      <c r="J103" s="43"/>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row>
    <row r="104" spans="1:114" s="46" customFormat="1" ht="18.75" customHeight="1">
      <c r="A104" s="260"/>
      <c r="B104" s="279"/>
      <c r="C104" s="21" t="s">
        <v>85</v>
      </c>
      <c r="D104" s="60">
        <v>9192.75</v>
      </c>
      <c r="E104" s="125" t="s">
        <v>86</v>
      </c>
      <c r="F104" s="5"/>
      <c r="G104" s="14"/>
      <c r="H104" s="12"/>
      <c r="I104" s="15"/>
      <c r="J104" s="43"/>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row>
    <row r="105" spans="1:114" s="46" customFormat="1" ht="35.25" customHeight="1">
      <c r="A105" s="260"/>
      <c r="B105" s="279"/>
      <c r="C105" s="21" t="s">
        <v>292</v>
      </c>
      <c r="D105" s="60">
        <v>113811</v>
      </c>
      <c r="E105" s="105" t="s">
        <v>293</v>
      </c>
      <c r="F105" s="5"/>
      <c r="G105" s="14"/>
      <c r="H105" s="12"/>
      <c r="I105" s="15"/>
      <c r="J105" s="43"/>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row>
    <row r="106" spans="1:114" s="46" customFormat="1" ht="27.75" customHeight="1">
      <c r="A106" s="260"/>
      <c r="B106" s="279"/>
      <c r="C106" s="146" t="s">
        <v>254</v>
      </c>
      <c r="D106" s="109">
        <f>4880+5083.23</f>
        <v>9963.23</v>
      </c>
      <c r="E106" s="106" t="s">
        <v>198</v>
      </c>
      <c r="F106" s="5"/>
      <c r="G106" s="14"/>
      <c r="H106" s="12"/>
      <c r="I106" s="15"/>
      <c r="J106" s="43"/>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row>
    <row r="107" spans="1:114" s="46" customFormat="1" ht="38.25" customHeight="1">
      <c r="A107" s="255"/>
      <c r="B107" s="280"/>
      <c r="C107" s="146" t="s">
        <v>149</v>
      </c>
      <c r="D107" s="122">
        <f>234344+134230.34</f>
        <v>368574.33999999997</v>
      </c>
      <c r="E107" s="106" t="s">
        <v>148</v>
      </c>
      <c r="F107" s="5"/>
      <c r="G107" s="14"/>
      <c r="H107" s="12"/>
      <c r="I107" s="15"/>
      <c r="J107" s="43"/>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row>
    <row r="108" spans="1:114" s="46" customFormat="1" ht="27.75" customHeight="1">
      <c r="A108" s="153" t="s">
        <v>15</v>
      </c>
      <c r="B108" s="39">
        <f>B97</f>
        <v>1915</v>
      </c>
      <c r="C108" s="2"/>
      <c r="D108" s="22">
        <f>SUM(D97:D107)</f>
        <v>1373392.88</v>
      </c>
      <c r="E108" s="23"/>
      <c r="F108" s="50">
        <f>F107</f>
        <v>0</v>
      </c>
      <c r="G108" s="41"/>
      <c r="H108" s="9">
        <f>SUM(H101:H107)</f>
        <v>0</v>
      </c>
      <c r="I108" s="33"/>
      <c r="J108" s="43"/>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row>
    <row r="109" spans="1:114" s="46" customFormat="1" ht="48.75" customHeight="1">
      <c r="A109" s="254" t="s">
        <v>28</v>
      </c>
      <c r="B109" s="278"/>
      <c r="C109" s="21" t="s">
        <v>152</v>
      </c>
      <c r="D109" s="16">
        <v>450053.76</v>
      </c>
      <c r="E109" s="16" t="s">
        <v>151</v>
      </c>
      <c r="F109" s="288"/>
      <c r="G109" s="268"/>
      <c r="H109" s="9"/>
      <c r="I109" s="33"/>
      <c r="J109" s="43"/>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row>
    <row r="110" spans="1:114" s="46" customFormat="1" ht="25.5" customHeight="1">
      <c r="A110" s="260"/>
      <c r="B110" s="279"/>
      <c r="C110" s="21" t="s">
        <v>85</v>
      </c>
      <c r="D110" s="60">
        <v>36771</v>
      </c>
      <c r="E110" s="125" t="s">
        <v>86</v>
      </c>
      <c r="F110" s="289"/>
      <c r="G110" s="271"/>
      <c r="H110" s="9"/>
      <c r="I110" s="33"/>
      <c r="J110" s="43"/>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row>
    <row r="111" spans="1:114" s="46" customFormat="1" ht="31.5" customHeight="1">
      <c r="A111" s="260"/>
      <c r="B111" s="279"/>
      <c r="C111" s="176" t="s">
        <v>254</v>
      </c>
      <c r="D111" s="60">
        <f>6100+5083.23</f>
        <v>11183.23</v>
      </c>
      <c r="E111" s="102" t="s">
        <v>198</v>
      </c>
      <c r="F111" s="289"/>
      <c r="G111" s="271"/>
      <c r="H111" s="9"/>
      <c r="I111" s="33"/>
      <c r="J111" s="43"/>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row>
    <row r="112" spans="1:114" s="46" customFormat="1" ht="45.75" customHeight="1">
      <c r="A112" s="260"/>
      <c r="B112" s="279"/>
      <c r="C112" s="150" t="s">
        <v>213</v>
      </c>
      <c r="D112" s="59">
        <v>223908.3</v>
      </c>
      <c r="E112" s="105" t="s">
        <v>87</v>
      </c>
      <c r="F112" s="289"/>
      <c r="G112" s="271"/>
      <c r="H112" s="14"/>
      <c r="I112" s="14"/>
      <c r="J112" s="43"/>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row>
    <row r="113" spans="1:9" ht="2.25" customHeight="1" hidden="1">
      <c r="A113" s="255"/>
      <c r="B113" s="280"/>
      <c r="C113" s="114"/>
      <c r="D113" s="59"/>
      <c r="E113" s="83"/>
      <c r="F113" s="290"/>
      <c r="G113" s="269"/>
      <c r="H113" s="57"/>
      <c r="I113" s="14"/>
    </row>
    <row r="114" spans="1:114" s="46" customFormat="1" ht="19.5" customHeight="1">
      <c r="A114" s="153" t="s">
        <v>15</v>
      </c>
      <c r="B114" s="39">
        <f>SUM(B109:B109)</f>
        <v>0</v>
      </c>
      <c r="C114" s="2"/>
      <c r="D114" s="101">
        <f>SUM(D109:D113)</f>
        <v>721916.29</v>
      </c>
      <c r="E114" s="84"/>
      <c r="F114" s="50">
        <f>F109</f>
        <v>0</v>
      </c>
      <c r="G114" s="41"/>
      <c r="H114" s="8">
        <f>SUM(H112:H113)</f>
        <v>0</v>
      </c>
      <c r="I114" s="33"/>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row>
    <row r="115" spans="1:114" s="46" customFormat="1" ht="145.5" customHeight="1">
      <c r="A115" s="254" t="s">
        <v>55</v>
      </c>
      <c r="B115" s="278">
        <v>7999</v>
      </c>
      <c r="C115" s="156" t="s">
        <v>296</v>
      </c>
      <c r="D115" s="59">
        <f>277643.43+38761.2+1023.96+7669.26+3964.95+9215.62</f>
        <v>338278.42000000004</v>
      </c>
      <c r="E115" s="105" t="s">
        <v>87</v>
      </c>
      <c r="F115" s="288"/>
      <c r="G115" s="268"/>
      <c r="H115" s="8"/>
      <c r="I115" s="33"/>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row>
    <row r="116" spans="1:114" s="46" customFormat="1" ht="20.25" customHeight="1">
      <c r="A116" s="260"/>
      <c r="B116" s="279"/>
      <c r="C116" s="156" t="s">
        <v>295</v>
      </c>
      <c r="D116" s="59"/>
      <c r="E116" s="105"/>
      <c r="F116" s="289"/>
      <c r="G116" s="271"/>
      <c r="H116" s="8"/>
      <c r="I116" s="33"/>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row>
    <row r="117" spans="1:114" s="46" customFormat="1" ht="26.25" customHeight="1">
      <c r="A117" s="260"/>
      <c r="B117" s="279"/>
      <c r="C117" s="21" t="s">
        <v>85</v>
      </c>
      <c r="D117" s="60">
        <v>27578.25</v>
      </c>
      <c r="E117" s="125" t="s">
        <v>86</v>
      </c>
      <c r="F117" s="289"/>
      <c r="G117" s="271"/>
      <c r="H117" s="8"/>
      <c r="I117" s="33"/>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row>
    <row r="118" spans="1:114" s="46" customFormat="1" ht="33.75" customHeight="1">
      <c r="A118" s="255"/>
      <c r="B118" s="280"/>
      <c r="C118" s="114" t="s">
        <v>254</v>
      </c>
      <c r="D118" s="59">
        <f>2440+5083.23</f>
        <v>7523.23</v>
      </c>
      <c r="E118" s="102" t="s">
        <v>198</v>
      </c>
      <c r="F118" s="290"/>
      <c r="G118" s="269"/>
      <c r="H118" s="58"/>
      <c r="I118" s="58"/>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row>
    <row r="119" spans="1:114" s="46" customFormat="1" ht="26.25" customHeight="1">
      <c r="A119" s="153" t="s">
        <v>15</v>
      </c>
      <c r="B119" s="39">
        <f>SUM(B115:B118)</f>
        <v>7999</v>
      </c>
      <c r="C119" s="3"/>
      <c r="D119" s="23">
        <f>SUM(D115:D118)</f>
        <v>373379.9</v>
      </c>
      <c r="E119" s="23"/>
      <c r="F119" s="10">
        <f>F115</f>
        <v>0</v>
      </c>
      <c r="G119" s="41"/>
      <c r="H119" s="8">
        <f>SUM(H115:H118)</f>
        <v>0</v>
      </c>
      <c r="I119" s="33"/>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row>
    <row r="120" spans="1:114" s="46" customFormat="1" ht="168.75" customHeight="1">
      <c r="A120" s="254" t="s">
        <v>54</v>
      </c>
      <c r="B120" s="284"/>
      <c r="C120" s="128" t="s">
        <v>297</v>
      </c>
      <c r="D120" s="60">
        <f>235420.3+12631.8+16190.66+6678.68</f>
        <v>270921.43999999994</v>
      </c>
      <c r="E120" s="105" t="s">
        <v>87</v>
      </c>
      <c r="F120" s="266"/>
      <c r="G120" s="268"/>
      <c r="H120" s="57"/>
      <c r="I120" s="14"/>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row>
    <row r="121" spans="1:114" s="46" customFormat="1" ht="23.25" customHeight="1">
      <c r="A121" s="260"/>
      <c r="B121" s="285"/>
      <c r="C121" s="136" t="s">
        <v>134</v>
      </c>
      <c r="D121" s="109">
        <v>4320</v>
      </c>
      <c r="E121" s="117" t="s">
        <v>136</v>
      </c>
      <c r="F121" s="270"/>
      <c r="G121" s="271"/>
      <c r="H121" s="57"/>
      <c r="I121" s="14"/>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row>
    <row r="122" spans="1:114" s="46" customFormat="1" ht="33" customHeight="1">
      <c r="A122" s="260"/>
      <c r="B122" s="285"/>
      <c r="C122" s="136" t="s">
        <v>254</v>
      </c>
      <c r="D122" s="109">
        <f>4270+5083.23</f>
        <v>9353.23</v>
      </c>
      <c r="E122" s="102" t="s">
        <v>198</v>
      </c>
      <c r="F122" s="270"/>
      <c r="G122" s="271"/>
      <c r="H122" s="57"/>
      <c r="I122" s="14"/>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row>
    <row r="123" spans="1:114" s="46" customFormat="1" ht="22.5" customHeight="1">
      <c r="A123" s="260"/>
      <c r="B123" s="285"/>
      <c r="C123" s="21" t="s">
        <v>85</v>
      </c>
      <c r="D123" s="60">
        <v>9192.75</v>
      </c>
      <c r="E123" s="125" t="s">
        <v>86</v>
      </c>
      <c r="F123" s="270"/>
      <c r="G123" s="271"/>
      <c r="H123" s="57"/>
      <c r="I123" s="14"/>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row>
    <row r="124" spans="1:114" s="46" customFormat="1" ht="42" customHeight="1">
      <c r="A124" s="255"/>
      <c r="B124" s="286"/>
      <c r="C124" s="128" t="s">
        <v>121</v>
      </c>
      <c r="D124" s="109">
        <f>6770+5607</f>
        <v>12377</v>
      </c>
      <c r="E124" s="59" t="s">
        <v>108</v>
      </c>
      <c r="F124" s="267"/>
      <c r="G124" s="269"/>
      <c r="H124" s="8"/>
      <c r="I124" s="33"/>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row>
    <row r="125" spans="1:114" s="46" customFormat="1" ht="24" customHeight="1">
      <c r="A125" s="153" t="s">
        <v>15</v>
      </c>
      <c r="B125" s="39">
        <f>SUM(B120:B124)</f>
        <v>0</v>
      </c>
      <c r="C125" s="3"/>
      <c r="D125" s="22">
        <f>SUM(D120:D124)</f>
        <v>306164.4199999999</v>
      </c>
      <c r="E125" s="23"/>
      <c r="F125" s="10">
        <f>F120</f>
        <v>0</v>
      </c>
      <c r="G125" s="41"/>
      <c r="H125" s="8">
        <f>SUM(H120:H124)</f>
        <v>0</v>
      </c>
      <c r="I125" s="33"/>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row>
    <row r="126" spans="1:114" s="46" customFormat="1" ht="28.5" customHeight="1">
      <c r="A126" s="254" t="s">
        <v>73</v>
      </c>
      <c r="B126" s="278"/>
      <c r="C126" s="162" t="s">
        <v>81</v>
      </c>
      <c r="D126" s="144">
        <v>1979.64</v>
      </c>
      <c r="E126" s="105" t="s">
        <v>91</v>
      </c>
      <c r="F126" s="123"/>
      <c r="G126" s="119"/>
      <c r="H126" s="8"/>
      <c r="I126" s="33"/>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row>
    <row r="127" spans="1:114" s="46" customFormat="1" ht="26.25" customHeight="1">
      <c r="A127" s="260"/>
      <c r="B127" s="279"/>
      <c r="C127" s="128" t="s">
        <v>81</v>
      </c>
      <c r="D127" s="109">
        <v>1280.45</v>
      </c>
      <c r="E127" s="59" t="s">
        <v>92</v>
      </c>
      <c r="F127" s="123"/>
      <c r="G127" s="119"/>
      <c r="H127" s="8"/>
      <c r="I127" s="33"/>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row>
    <row r="128" spans="1:114" s="46" customFormat="1" ht="183.75" customHeight="1">
      <c r="A128" s="260"/>
      <c r="B128" s="279"/>
      <c r="C128" s="128" t="s">
        <v>298</v>
      </c>
      <c r="D128" s="109">
        <f>384775.88+19599.22+4074.69+2040.55+2548.94+704.3+26584.5</f>
        <v>440328.07999999996</v>
      </c>
      <c r="E128" s="105" t="s">
        <v>87</v>
      </c>
      <c r="F128" s="123"/>
      <c r="G128" s="119"/>
      <c r="H128" s="8"/>
      <c r="I128" s="33"/>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row>
    <row r="129" spans="1:114" s="46" customFormat="1" ht="26.25" customHeight="1">
      <c r="A129" s="260"/>
      <c r="B129" s="279"/>
      <c r="C129" s="128" t="s">
        <v>301</v>
      </c>
      <c r="D129" s="109">
        <v>5218.96</v>
      </c>
      <c r="E129" s="105" t="s">
        <v>300</v>
      </c>
      <c r="F129" s="123"/>
      <c r="G129" s="119"/>
      <c r="H129" s="8"/>
      <c r="I129" s="33"/>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row>
    <row r="130" spans="1:114" s="46" customFormat="1" ht="39" customHeight="1">
      <c r="A130" s="260"/>
      <c r="B130" s="279"/>
      <c r="C130" s="128"/>
      <c r="D130" s="109"/>
      <c r="E130" s="105" t="s">
        <v>238</v>
      </c>
      <c r="F130" s="123"/>
      <c r="G130" s="119"/>
      <c r="H130" s="8"/>
      <c r="I130" s="33"/>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row>
    <row r="131" spans="1:114" s="46" customFormat="1" ht="20.25" customHeight="1">
      <c r="A131" s="260"/>
      <c r="B131" s="279"/>
      <c r="C131" s="21" t="s">
        <v>85</v>
      </c>
      <c r="D131" s="60">
        <v>9192.75</v>
      </c>
      <c r="E131" s="125" t="s">
        <v>86</v>
      </c>
      <c r="F131" s="123"/>
      <c r="G131" s="119"/>
      <c r="H131" s="8"/>
      <c r="I131" s="33"/>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row>
    <row r="132" spans="1:9" ht="23.25" customHeight="1">
      <c r="A132" s="260"/>
      <c r="B132" s="279"/>
      <c r="C132" s="152" t="s">
        <v>29</v>
      </c>
      <c r="D132" s="109">
        <v>64487.68</v>
      </c>
      <c r="E132" s="109" t="s">
        <v>142</v>
      </c>
      <c r="F132" s="281"/>
      <c r="G132" s="268"/>
      <c r="H132" s="5"/>
      <c r="I132" s="14"/>
    </row>
    <row r="133" spans="1:9" ht="81.75" customHeight="1">
      <c r="A133" s="260"/>
      <c r="B133" s="279"/>
      <c r="C133" s="171" t="s">
        <v>154</v>
      </c>
      <c r="D133" s="82">
        <f>93980+22196.34+89605.8</f>
        <v>205782.14</v>
      </c>
      <c r="E133" s="171" t="s">
        <v>153</v>
      </c>
      <c r="F133" s="282"/>
      <c r="G133" s="271"/>
      <c r="H133" s="5"/>
      <c r="I133" s="14"/>
    </row>
    <row r="134" spans="1:9" ht="154.5" customHeight="1">
      <c r="A134" s="260"/>
      <c r="B134" s="279"/>
      <c r="C134" s="180" t="s">
        <v>299</v>
      </c>
      <c r="D134" s="82">
        <f>60510.42+51960+17410+1975+30900+20483.1</f>
        <v>183238.52</v>
      </c>
      <c r="E134" s="16" t="s">
        <v>241</v>
      </c>
      <c r="F134" s="282"/>
      <c r="G134" s="271"/>
      <c r="H134" s="5"/>
      <c r="I134" s="14"/>
    </row>
    <row r="135" spans="1:9" ht="21.75" customHeight="1">
      <c r="A135" s="260"/>
      <c r="B135" s="279"/>
      <c r="C135" s="116" t="s">
        <v>155</v>
      </c>
      <c r="D135" s="82">
        <v>60</v>
      </c>
      <c r="E135" s="59" t="s">
        <v>108</v>
      </c>
      <c r="F135" s="282"/>
      <c r="G135" s="271"/>
      <c r="H135" s="5"/>
      <c r="I135" s="14"/>
    </row>
    <row r="136" spans="1:9" ht="30" customHeight="1">
      <c r="A136" s="260"/>
      <c r="B136" s="279"/>
      <c r="C136" s="152" t="s">
        <v>254</v>
      </c>
      <c r="D136" s="109">
        <f>4880+5083.23</f>
        <v>9963.23</v>
      </c>
      <c r="E136" s="102" t="s">
        <v>198</v>
      </c>
      <c r="F136" s="282"/>
      <c r="G136" s="271"/>
      <c r="H136" s="5"/>
      <c r="I136" s="14"/>
    </row>
    <row r="137" spans="1:9" ht="15" customHeight="1">
      <c r="A137" s="255"/>
      <c r="B137" s="280"/>
      <c r="C137" s="152"/>
      <c r="D137" s="109"/>
      <c r="E137" s="100"/>
      <c r="F137" s="283"/>
      <c r="G137" s="269"/>
      <c r="H137" s="5"/>
      <c r="I137" s="14"/>
    </row>
    <row r="138" spans="1:114" s="46" customFormat="1" ht="22.5" customHeight="1">
      <c r="A138" s="153" t="s">
        <v>15</v>
      </c>
      <c r="B138" s="52">
        <f>SUM(B126:B126)</f>
        <v>0</v>
      </c>
      <c r="C138" s="152"/>
      <c r="D138" s="22">
        <f>SUM(D126:D137)</f>
        <v>921531.45</v>
      </c>
      <c r="E138" s="23"/>
      <c r="F138" s="10">
        <f>F132</f>
        <v>0</v>
      </c>
      <c r="G138" s="41"/>
      <c r="H138" s="50">
        <f>H132</f>
        <v>0</v>
      </c>
      <c r="I138" s="33"/>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row>
    <row r="139" spans="1:114" s="46" customFormat="1" ht="174.75" customHeight="1" hidden="1">
      <c r="A139" s="153" t="s">
        <v>15</v>
      </c>
      <c r="B139" s="39">
        <f>SUM(B126:B138)</f>
        <v>0</v>
      </c>
      <c r="C139" s="2"/>
      <c r="D139" s="23"/>
      <c r="E139" s="22"/>
      <c r="F139" s="9"/>
      <c r="G139" s="41"/>
      <c r="H139" s="8"/>
      <c r="I139" s="8"/>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row>
    <row r="140" spans="1:114" s="46" customFormat="1" ht="16.5" customHeight="1" hidden="1">
      <c r="A140" s="164" t="s">
        <v>27</v>
      </c>
      <c r="B140" s="62">
        <v>10999</v>
      </c>
      <c r="C140" s="152" t="s">
        <v>35</v>
      </c>
      <c r="D140" s="23"/>
      <c r="E140" s="22"/>
      <c r="F140" s="9"/>
      <c r="G140" s="41"/>
      <c r="H140" s="8"/>
      <c r="I140" s="8"/>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row>
    <row r="141" spans="1:9" ht="17.25" customHeight="1" hidden="1">
      <c r="A141" s="164" t="s">
        <v>27</v>
      </c>
      <c r="B141" s="62">
        <v>1219</v>
      </c>
      <c r="C141" s="152" t="s">
        <v>29</v>
      </c>
      <c r="D141" s="60"/>
      <c r="E141" s="22"/>
      <c r="F141" s="12"/>
      <c r="G141" s="32"/>
      <c r="H141" s="57"/>
      <c r="I141" s="14"/>
    </row>
    <row r="142" spans="1:114" s="46" customFormat="1" ht="16.5" customHeight="1" hidden="1">
      <c r="A142" s="153" t="s">
        <v>15</v>
      </c>
      <c r="B142" s="39">
        <f>SUM(B140:B141)</f>
        <v>12218</v>
      </c>
      <c r="C142" s="2"/>
      <c r="D142" s="23"/>
      <c r="E142" s="22"/>
      <c r="F142" s="9"/>
      <c r="G142" s="41"/>
      <c r="H142" s="8"/>
      <c r="I142" s="8"/>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row>
    <row r="143" spans="1:114" s="46" customFormat="1" ht="16.5" customHeight="1" hidden="1">
      <c r="A143" s="164" t="s">
        <v>22</v>
      </c>
      <c r="B143" s="59">
        <v>3133</v>
      </c>
      <c r="C143" s="152" t="s">
        <v>30</v>
      </c>
      <c r="D143" s="60"/>
      <c r="E143" s="22"/>
      <c r="F143" s="9"/>
      <c r="G143" s="41"/>
      <c r="H143" s="8"/>
      <c r="I143" s="8"/>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row>
    <row r="144" spans="1:114" s="46" customFormat="1" ht="18.75" customHeight="1" hidden="1">
      <c r="A144" s="164" t="s">
        <v>22</v>
      </c>
      <c r="B144" s="59">
        <v>120</v>
      </c>
      <c r="C144" s="152" t="s">
        <v>26</v>
      </c>
      <c r="D144" s="60"/>
      <c r="E144" s="22"/>
      <c r="F144" s="9"/>
      <c r="G144" s="41"/>
      <c r="H144" s="8"/>
      <c r="I144" s="8"/>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row>
    <row r="145" spans="1:114" s="46" customFormat="1" ht="18.75" customHeight="1" hidden="1">
      <c r="A145" s="164" t="s">
        <v>22</v>
      </c>
      <c r="B145" s="59">
        <v>210</v>
      </c>
      <c r="C145" s="152" t="s">
        <v>26</v>
      </c>
      <c r="D145" s="60"/>
      <c r="E145" s="22"/>
      <c r="F145" s="9"/>
      <c r="G145" s="41"/>
      <c r="H145" s="8"/>
      <c r="I145" s="8"/>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row>
    <row r="146" spans="1:114" s="46" customFormat="1" ht="16.5" customHeight="1" hidden="1">
      <c r="A146" s="153" t="s">
        <v>15</v>
      </c>
      <c r="B146" s="22">
        <f>SUM(B143:B145)</f>
        <v>3463</v>
      </c>
      <c r="C146" s="2"/>
      <c r="D146" s="23"/>
      <c r="E146" s="22"/>
      <c r="F146" s="9"/>
      <c r="G146" s="41"/>
      <c r="H146" s="8"/>
      <c r="I146" s="8"/>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row>
    <row r="147" spans="1:114" s="46" customFormat="1" ht="17.25" customHeight="1" hidden="1">
      <c r="A147" s="164" t="s">
        <v>23</v>
      </c>
      <c r="B147" s="63">
        <v>60</v>
      </c>
      <c r="C147" s="152" t="s">
        <v>33</v>
      </c>
      <c r="D147" s="63">
        <v>149639.87</v>
      </c>
      <c r="E147" s="85" t="s">
        <v>32</v>
      </c>
      <c r="F147" s="6"/>
      <c r="G147" s="41"/>
      <c r="H147" s="61"/>
      <c r="I147" s="8"/>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row>
    <row r="148" spans="1:114" s="46" customFormat="1" ht="17.25" customHeight="1" hidden="1">
      <c r="A148" s="164" t="s">
        <v>23</v>
      </c>
      <c r="B148" s="63">
        <v>3951.33</v>
      </c>
      <c r="C148" s="152" t="s">
        <v>34</v>
      </c>
      <c r="D148" s="63"/>
      <c r="E148" s="85"/>
      <c r="F148" s="6"/>
      <c r="G148" s="41"/>
      <c r="H148" s="61"/>
      <c r="I148" s="8"/>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row>
    <row r="149" spans="1:114" s="46" customFormat="1" ht="24" customHeight="1">
      <c r="A149" s="254" t="s">
        <v>27</v>
      </c>
      <c r="B149" s="278">
        <f>360+324</f>
        <v>684</v>
      </c>
      <c r="C149" s="156" t="s">
        <v>81</v>
      </c>
      <c r="D149" s="144">
        <v>673.92</v>
      </c>
      <c r="E149" s="105" t="s">
        <v>91</v>
      </c>
      <c r="F149" s="115"/>
      <c r="G149" s="119"/>
      <c r="H149" s="61"/>
      <c r="I149" s="8"/>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row>
    <row r="150" spans="1:114" s="46" customFormat="1" ht="20.25" customHeight="1">
      <c r="A150" s="260"/>
      <c r="B150" s="279"/>
      <c r="C150" s="128" t="s">
        <v>81</v>
      </c>
      <c r="D150" s="109">
        <v>1280.45</v>
      </c>
      <c r="E150" s="59" t="s">
        <v>92</v>
      </c>
      <c r="F150" s="115"/>
      <c r="G150" s="119"/>
      <c r="H150" s="61"/>
      <c r="I150" s="8"/>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row>
    <row r="151" spans="1:114" s="46" customFormat="1" ht="184.5" customHeight="1">
      <c r="A151" s="260"/>
      <c r="B151" s="279"/>
      <c r="C151" s="128" t="s">
        <v>302</v>
      </c>
      <c r="D151" s="109">
        <f>489343.04+24712.06+2087.36+563.44+4074.69+7646.82</f>
        <v>528427.4099999999</v>
      </c>
      <c r="E151" s="105" t="s">
        <v>87</v>
      </c>
      <c r="F151" s="115"/>
      <c r="G151" s="119"/>
      <c r="H151" s="61"/>
      <c r="I151" s="8"/>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row>
    <row r="152" spans="1:9" ht="29.25" customHeight="1">
      <c r="A152" s="260"/>
      <c r="B152" s="279"/>
      <c r="C152" s="156" t="s">
        <v>138</v>
      </c>
      <c r="D152" s="109">
        <f>1898+160+60</f>
        <v>2118</v>
      </c>
      <c r="E152" s="122" t="s">
        <v>108</v>
      </c>
      <c r="F152" s="281"/>
      <c r="G152" s="268"/>
      <c r="H152" s="57"/>
      <c r="I152" s="14"/>
    </row>
    <row r="153" spans="1:9" ht="31.5" customHeight="1">
      <c r="A153" s="260"/>
      <c r="B153" s="279"/>
      <c r="C153" s="21" t="s">
        <v>292</v>
      </c>
      <c r="D153" s="60">
        <v>113811</v>
      </c>
      <c r="E153" s="105" t="s">
        <v>293</v>
      </c>
      <c r="F153" s="282"/>
      <c r="G153" s="271"/>
      <c r="H153" s="57"/>
      <c r="I153" s="104"/>
    </row>
    <row r="154" spans="1:9" ht="27.75" customHeight="1">
      <c r="A154" s="260"/>
      <c r="B154" s="279"/>
      <c r="C154" s="156" t="s">
        <v>254</v>
      </c>
      <c r="D154" s="109">
        <f>5490+5083.23</f>
        <v>10573.23</v>
      </c>
      <c r="E154" s="122" t="s">
        <v>198</v>
      </c>
      <c r="F154" s="282"/>
      <c r="G154" s="271"/>
      <c r="H154" s="57"/>
      <c r="I154" s="104"/>
    </row>
    <row r="155" spans="1:9" ht="27.75" customHeight="1">
      <c r="A155" s="260"/>
      <c r="B155" s="279"/>
      <c r="C155" s="21" t="s">
        <v>85</v>
      </c>
      <c r="D155" s="60">
        <v>55156.5</v>
      </c>
      <c r="E155" s="125" t="s">
        <v>86</v>
      </c>
      <c r="F155" s="282"/>
      <c r="G155" s="271"/>
      <c r="H155" s="57"/>
      <c r="I155" s="104"/>
    </row>
    <row r="156" spans="1:9" ht="20.25" customHeight="1">
      <c r="A156" s="260"/>
      <c r="B156" s="279"/>
      <c r="C156" s="156" t="s">
        <v>192</v>
      </c>
      <c r="D156" s="109"/>
      <c r="E156" s="109"/>
      <c r="F156" s="283"/>
      <c r="G156" s="269"/>
      <c r="H156" s="57"/>
      <c r="I156" s="104"/>
    </row>
    <row r="157" spans="1:114" s="46" customFormat="1" ht="19.5" customHeight="1">
      <c r="A157" s="153" t="s">
        <v>15</v>
      </c>
      <c r="B157" s="52">
        <f>SUM(B149:B149)</f>
        <v>684</v>
      </c>
      <c r="C157" s="158"/>
      <c r="D157" s="22">
        <f>SUM(D149:D156)</f>
        <v>712040.5099999999</v>
      </c>
      <c r="E157" s="23"/>
      <c r="F157" s="10">
        <f>F152</f>
        <v>0</v>
      </c>
      <c r="G157" s="41"/>
      <c r="H157" s="8">
        <f>SUM(H152:H156)</f>
        <v>0</v>
      </c>
      <c r="I157" s="33"/>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row>
    <row r="158" spans="1:114" s="46" customFormat="1" ht="138.75" customHeight="1">
      <c r="A158" s="254" t="s">
        <v>74</v>
      </c>
      <c r="B158" s="278"/>
      <c r="C158" s="173" t="s">
        <v>303</v>
      </c>
      <c r="D158" s="60">
        <f>76877.13+12728+27268.48+8921.29</f>
        <v>125794.9</v>
      </c>
      <c r="E158" s="105" t="s">
        <v>87</v>
      </c>
      <c r="F158" s="281"/>
      <c r="G158" s="268"/>
      <c r="H158" s="57"/>
      <c r="I158" s="14"/>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row>
    <row r="159" spans="1:114" s="46" customFormat="1" ht="92.25" customHeight="1">
      <c r="A159" s="260"/>
      <c r="B159" s="279"/>
      <c r="C159" s="173" t="s">
        <v>276</v>
      </c>
      <c r="D159" s="60">
        <v>352163.3</v>
      </c>
      <c r="E159" s="105" t="s">
        <v>275</v>
      </c>
      <c r="F159" s="282"/>
      <c r="G159" s="271"/>
      <c r="H159" s="57"/>
      <c r="I159" s="14"/>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row>
    <row r="160" spans="1:114" s="46" customFormat="1" ht="30" customHeight="1">
      <c r="A160" s="260"/>
      <c r="B160" s="279"/>
      <c r="C160" s="21" t="s">
        <v>292</v>
      </c>
      <c r="D160" s="60">
        <v>113811</v>
      </c>
      <c r="E160" s="105" t="s">
        <v>293</v>
      </c>
      <c r="F160" s="282"/>
      <c r="G160" s="271"/>
      <c r="H160" s="57"/>
      <c r="I160" s="14"/>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row>
    <row r="161" spans="1:9" ht="29.25" customHeight="1">
      <c r="A161" s="255"/>
      <c r="B161" s="280"/>
      <c r="C161" s="173" t="s">
        <v>254</v>
      </c>
      <c r="D161" s="60">
        <f>3416+5083.23</f>
        <v>8499.23</v>
      </c>
      <c r="E161" s="122" t="s">
        <v>198</v>
      </c>
      <c r="F161" s="283"/>
      <c r="G161" s="269"/>
      <c r="H161" s="60"/>
      <c r="I161" s="94"/>
    </row>
    <row r="162" spans="1:114" s="46" customFormat="1" ht="25.5" customHeight="1">
      <c r="A162" s="153" t="s">
        <v>15</v>
      </c>
      <c r="B162" s="39">
        <f>SUM(B158:B158)</f>
        <v>0</v>
      </c>
      <c r="C162" s="3"/>
      <c r="D162" s="22">
        <f>SUM(D158:D161)</f>
        <v>600268.4299999999</v>
      </c>
      <c r="E162" s="23"/>
      <c r="F162" s="10">
        <f>F158</f>
        <v>0</v>
      </c>
      <c r="G162" s="41"/>
      <c r="H162" s="8">
        <f>SUM(H158:H161)</f>
        <v>0</v>
      </c>
      <c r="I162" s="33"/>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row>
    <row r="163" spans="1:114" s="46" customFormat="1" ht="18.75" customHeight="1">
      <c r="A163" s="254" t="s">
        <v>75</v>
      </c>
      <c r="B163" s="278">
        <v>120</v>
      </c>
      <c r="C163" s="156" t="s">
        <v>81</v>
      </c>
      <c r="D163" s="144">
        <v>1305.72</v>
      </c>
      <c r="E163" s="105" t="s">
        <v>91</v>
      </c>
      <c r="F163" s="281"/>
      <c r="G163" s="268"/>
      <c r="H163" s="57"/>
      <c r="I163" s="14"/>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row>
    <row r="164" spans="1:114" s="46" customFormat="1" ht="18.75" customHeight="1">
      <c r="A164" s="260"/>
      <c r="B164" s="279"/>
      <c r="C164" s="128" t="s">
        <v>81</v>
      </c>
      <c r="D164" s="109">
        <v>1280.45</v>
      </c>
      <c r="E164" s="59" t="s">
        <v>92</v>
      </c>
      <c r="F164" s="282"/>
      <c r="G164" s="271"/>
      <c r="H164" s="57"/>
      <c r="I164" s="14"/>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row>
    <row r="165" spans="1:114" s="46" customFormat="1" ht="258" customHeight="1">
      <c r="A165" s="260"/>
      <c r="B165" s="279"/>
      <c r="C165" s="137" t="s">
        <v>304</v>
      </c>
      <c r="D165" s="109">
        <f>546886.52+1023.96+17042.8+3964.95+11594.97+11135.2</f>
        <v>591648.3999999999</v>
      </c>
      <c r="E165" s="105" t="s">
        <v>87</v>
      </c>
      <c r="F165" s="282"/>
      <c r="G165" s="271"/>
      <c r="H165" s="57"/>
      <c r="I165" s="14"/>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row>
    <row r="166" spans="1:114" s="46" customFormat="1" ht="39.75" customHeight="1">
      <c r="A166" s="260"/>
      <c r="B166" s="279"/>
      <c r="C166" s="137" t="s">
        <v>239</v>
      </c>
      <c r="D166" s="109">
        <v>1952390.8</v>
      </c>
      <c r="E166" s="105" t="s">
        <v>240</v>
      </c>
      <c r="F166" s="282"/>
      <c r="G166" s="271"/>
      <c r="H166" s="57"/>
      <c r="I166" s="14"/>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row>
    <row r="167" spans="1:114" s="46" customFormat="1" ht="33.75" customHeight="1">
      <c r="A167" s="260"/>
      <c r="B167" s="279"/>
      <c r="C167" s="137" t="s">
        <v>156</v>
      </c>
      <c r="D167" s="109">
        <f>480+100</f>
        <v>580</v>
      </c>
      <c r="E167" s="138" t="s">
        <v>108</v>
      </c>
      <c r="F167" s="282"/>
      <c r="G167" s="271"/>
      <c r="H167" s="57"/>
      <c r="I167" s="14"/>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row>
    <row r="168" spans="1:114" s="46" customFormat="1" ht="25.5" customHeight="1">
      <c r="A168" s="260"/>
      <c r="B168" s="279"/>
      <c r="C168" s="21" t="s">
        <v>85</v>
      </c>
      <c r="D168" s="60">
        <v>27578.25</v>
      </c>
      <c r="E168" s="125" t="s">
        <v>86</v>
      </c>
      <c r="F168" s="282"/>
      <c r="G168" s="271"/>
      <c r="H168" s="57"/>
      <c r="I168" s="14"/>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row>
    <row r="169" spans="1:114" s="46" customFormat="1" ht="19.5" customHeight="1">
      <c r="A169" s="260"/>
      <c r="B169" s="279"/>
      <c r="C169" s="156" t="s">
        <v>193</v>
      </c>
      <c r="D169" s="122"/>
      <c r="E169" s="105"/>
      <c r="F169" s="282"/>
      <c r="G169" s="271"/>
      <c r="H169" s="57"/>
      <c r="I169" s="14"/>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row>
    <row r="170" spans="1:9" ht="33" customHeight="1">
      <c r="A170" s="255"/>
      <c r="B170" s="280"/>
      <c r="C170" s="177" t="s">
        <v>254</v>
      </c>
      <c r="D170" s="122">
        <f>7930+5083.23</f>
        <v>13013.23</v>
      </c>
      <c r="E170" s="105" t="s">
        <v>198</v>
      </c>
      <c r="F170" s="283"/>
      <c r="G170" s="269"/>
      <c r="H170" s="57"/>
      <c r="I170" s="14"/>
    </row>
    <row r="171" spans="1:114" s="46" customFormat="1" ht="20.25" customHeight="1">
      <c r="A171" s="153" t="s">
        <v>15</v>
      </c>
      <c r="B171" s="39">
        <f>SUM(B163:B170)</f>
        <v>120</v>
      </c>
      <c r="C171" s="3"/>
      <c r="D171" s="22">
        <f>SUM(D163:D170)</f>
        <v>2587796.85</v>
      </c>
      <c r="E171" s="23"/>
      <c r="F171" s="10">
        <f>F163</f>
        <v>0</v>
      </c>
      <c r="G171" s="41"/>
      <c r="H171" s="8">
        <f>SUM(H163:H170)</f>
        <v>0</v>
      </c>
      <c r="I171" s="33"/>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row>
    <row r="172" spans="1:114" s="46" customFormat="1" ht="23.25" customHeight="1" hidden="1">
      <c r="A172" s="254" t="s">
        <v>76</v>
      </c>
      <c r="B172" s="278">
        <f>791.2+2245.96+562+806+2178.6+1530+1121.2+14766</f>
        <v>24000.96</v>
      </c>
      <c r="C172" s="152"/>
      <c r="D172" s="59"/>
      <c r="E172" s="86"/>
      <c r="F172" s="281"/>
      <c r="G172" s="268"/>
      <c r="H172" s="8"/>
      <c r="I172" s="33"/>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row>
    <row r="173" spans="1:114" s="46" customFormat="1" ht="309" customHeight="1">
      <c r="A173" s="260"/>
      <c r="B173" s="279"/>
      <c r="C173" s="162" t="s">
        <v>305</v>
      </c>
      <c r="D173" s="122">
        <f>522405.61+18851.5-79120+21303.5+11776.56</f>
        <v>495217.17</v>
      </c>
      <c r="E173" s="105" t="s">
        <v>87</v>
      </c>
      <c r="F173" s="282"/>
      <c r="G173" s="271"/>
      <c r="H173" s="8"/>
      <c r="I173" s="120"/>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row>
    <row r="174" spans="1:114" s="46" customFormat="1" ht="19.5" customHeight="1">
      <c r="A174" s="260"/>
      <c r="B174" s="279"/>
      <c r="C174" s="128" t="s">
        <v>279</v>
      </c>
      <c r="D174" s="109"/>
      <c r="E174" s="122"/>
      <c r="F174" s="282"/>
      <c r="G174" s="271"/>
      <c r="H174" s="8"/>
      <c r="I174" s="120"/>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row>
    <row r="175" spans="1:114" s="46" customFormat="1" ht="141.75" customHeight="1">
      <c r="A175" s="260"/>
      <c r="B175" s="279"/>
      <c r="C175" s="156" t="s">
        <v>106</v>
      </c>
      <c r="D175" s="122">
        <v>142506</v>
      </c>
      <c r="E175" s="105" t="s">
        <v>80</v>
      </c>
      <c r="F175" s="282"/>
      <c r="G175" s="271"/>
      <c r="H175" s="8"/>
      <c r="I175" s="120"/>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row>
    <row r="176" spans="1:114" s="46" customFormat="1" ht="218.25" customHeight="1">
      <c r="A176" s="260"/>
      <c r="B176" s="279"/>
      <c r="C176" s="146" t="s">
        <v>158</v>
      </c>
      <c r="D176" s="109">
        <v>402168.72</v>
      </c>
      <c r="E176" s="106" t="s">
        <v>132</v>
      </c>
      <c r="F176" s="282"/>
      <c r="G176" s="271"/>
      <c r="H176" s="8"/>
      <c r="I176" s="120"/>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row>
    <row r="177" spans="1:114" s="46" customFormat="1" ht="41.25" customHeight="1">
      <c r="A177" s="260"/>
      <c r="B177" s="279"/>
      <c r="C177" s="156" t="s">
        <v>157</v>
      </c>
      <c r="D177" s="122">
        <f>750+240+6175</f>
        <v>7165</v>
      </c>
      <c r="E177" s="105" t="s">
        <v>108</v>
      </c>
      <c r="F177" s="282"/>
      <c r="G177" s="271"/>
      <c r="H177" s="8"/>
      <c r="I177" s="120"/>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row>
    <row r="178" spans="1:114" s="46" customFormat="1" ht="54" customHeight="1">
      <c r="A178" s="260"/>
      <c r="B178" s="279"/>
      <c r="C178" s="165" t="s">
        <v>307</v>
      </c>
      <c r="D178" s="122">
        <v>95113.98</v>
      </c>
      <c r="E178" s="105" t="s">
        <v>306</v>
      </c>
      <c r="F178" s="282"/>
      <c r="G178" s="271"/>
      <c r="H178" s="8"/>
      <c r="I178" s="120"/>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row>
    <row r="179" spans="1:114" s="46" customFormat="1" ht="47.25" customHeight="1">
      <c r="A179" s="260"/>
      <c r="B179" s="279"/>
      <c r="C179" s="165" t="s">
        <v>160</v>
      </c>
      <c r="D179" s="122">
        <v>245480.54</v>
      </c>
      <c r="E179" s="172" t="s">
        <v>159</v>
      </c>
      <c r="F179" s="282"/>
      <c r="G179" s="271"/>
      <c r="H179" s="8"/>
      <c r="I179" s="120"/>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row>
    <row r="180" spans="1:114" s="46" customFormat="1" ht="24.75" customHeight="1">
      <c r="A180" s="260"/>
      <c r="B180" s="279"/>
      <c r="C180" s="165" t="s">
        <v>113</v>
      </c>
      <c r="D180" s="109">
        <f>1082.18</f>
        <v>1082.18</v>
      </c>
      <c r="E180" s="122" t="s">
        <v>112</v>
      </c>
      <c r="F180" s="282"/>
      <c r="G180" s="271"/>
      <c r="H180" s="8"/>
      <c r="I180" s="120"/>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row>
    <row r="181" spans="1:114" s="46" customFormat="1" ht="33" customHeight="1">
      <c r="A181" s="260"/>
      <c r="B181" s="279"/>
      <c r="C181" s="165" t="s">
        <v>254</v>
      </c>
      <c r="D181" s="109">
        <f>6710+5083.23</f>
        <v>11793.23</v>
      </c>
      <c r="E181" s="122" t="s">
        <v>198</v>
      </c>
      <c r="F181" s="282"/>
      <c r="G181" s="271"/>
      <c r="H181" s="8"/>
      <c r="I181" s="120"/>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row>
    <row r="182" spans="1:114" s="46" customFormat="1" ht="122.25" customHeight="1">
      <c r="A182" s="260"/>
      <c r="B182" s="279"/>
      <c r="C182" s="165" t="s">
        <v>173</v>
      </c>
      <c r="D182" s="109">
        <f>87150+800+75472.25+29277.9+96513.89+106300</f>
        <v>395514.04</v>
      </c>
      <c r="E182" s="122" t="s">
        <v>110</v>
      </c>
      <c r="F182" s="282"/>
      <c r="G182" s="271"/>
      <c r="H182" s="8"/>
      <c r="I182" s="120"/>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row>
    <row r="183" spans="1:114" s="46" customFormat="1" ht="24" customHeight="1">
      <c r="A183" s="153" t="s">
        <v>15</v>
      </c>
      <c r="B183" s="52">
        <f>SUM(B172:B172)</f>
        <v>24000.96</v>
      </c>
      <c r="C183" s="152"/>
      <c r="D183" s="22">
        <f>SUM(D173:D182)</f>
        <v>1796040.8599999999</v>
      </c>
      <c r="E183" s="60"/>
      <c r="F183" s="10">
        <f>F172</f>
        <v>0</v>
      </c>
      <c r="G183" s="41"/>
      <c r="H183" s="50">
        <f>SUM(H172:H182)</f>
        <v>0</v>
      </c>
      <c r="I183" s="33"/>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row>
    <row r="184" spans="1:114" s="46" customFormat="1" ht="29.25" customHeight="1">
      <c r="A184" s="277" t="s">
        <v>37</v>
      </c>
      <c r="B184" s="278">
        <v>7880</v>
      </c>
      <c r="C184" s="156" t="s">
        <v>81</v>
      </c>
      <c r="D184" s="144">
        <v>1305.72</v>
      </c>
      <c r="E184" s="105" t="s">
        <v>91</v>
      </c>
      <c r="F184" s="266"/>
      <c r="G184" s="268"/>
      <c r="H184" s="57"/>
      <c r="I184" s="14"/>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row>
    <row r="185" spans="1:114" s="46" customFormat="1" ht="20.25" customHeight="1">
      <c r="A185" s="277"/>
      <c r="B185" s="279"/>
      <c r="C185" s="128" t="s">
        <v>81</v>
      </c>
      <c r="D185" s="109">
        <v>1280.45</v>
      </c>
      <c r="E185" s="59" t="s">
        <v>92</v>
      </c>
      <c r="F185" s="270"/>
      <c r="G185" s="271"/>
      <c r="H185" s="57"/>
      <c r="I185" s="14"/>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row>
    <row r="186" spans="1:114" s="46" customFormat="1" ht="155.25" customHeight="1">
      <c r="A186" s="277"/>
      <c r="B186" s="279"/>
      <c r="C186" s="165" t="s">
        <v>308</v>
      </c>
      <c r="D186" s="122">
        <f>270761.54+33233.46+4074.69+8921.29+563.44+697.75</f>
        <v>318252.17</v>
      </c>
      <c r="E186" s="105" t="s">
        <v>87</v>
      </c>
      <c r="F186" s="270"/>
      <c r="G186" s="271"/>
      <c r="H186" s="57"/>
      <c r="I186" s="14"/>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row>
    <row r="187" spans="1:114" s="46" customFormat="1" ht="35.25" customHeight="1">
      <c r="A187" s="277"/>
      <c r="B187" s="279"/>
      <c r="C187" s="165" t="s">
        <v>250</v>
      </c>
      <c r="D187" s="122"/>
      <c r="E187" s="105"/>
      <c r="F187" s="270"/>
      <c r="G187" s="271"/>
      <c r="H187" s="57"/>
      <c r="I187" s="14"/>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row>
    <row r="188" spans="1:114" s="46" customFormat="1" ht="25.5" customHeight="1">
      <c r="A188" s="277"/>
      <c r="B188" s="279"/>
      <c r="C188" s="21" t="s">
        <v>85</v>
      </c>
      <c r="D188" s="60">
        <v>18385.5</v>
      </c>
      <c r="E188" s="125" t="s">
        <v>86</v>
      </c>
      <c r="F188" s="270"/>
      <c r="G188" s="271"/>
      <c r="H188" s="57"/>
      <c r="I188" s="14"/>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row>
    <row r="189" spans="1:114" s="46" customFormat="1" ht="27" customHeight="1">
      <c r="A189" s="277"/>
      <c r="B189" s="279"/>
      <c r="C189" s="156" t="s">
        <v>120</v>
      </c>
      <c r="D189" s="122">
        <v>240</v>
      </c>
      <c r="E189" s="105" t="s">
        <v>108</v>
      </c>
      <c r="F189" s="270"/>
      <c r="G189" s="271"/>
      <c r="H189" s="57"/>
      <c r="I189" s="14"/>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row>
    <row r="190" spans="1:114" s="46" customFormat="1" ht="30.75" customHeight="1">
      <c r="A190" s="277"/>
      <c r="B190" s="280"/>
      <c r="C190" s="128" t="s">
        <v>254</v>
      </c>
      <c r="D190" s="109">
        <f>6710+5083.23</f>
        <v>11793.23</v>
      </c>
      <c r="E190" s="122" t="s">
        <v>198</v>
      </c>
      <c r="F190" s="267"/>
      <c r="G190" s="269"/>
      <c r="H190" s="61"/>
      <c r="I190" s="8"/>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row>
    <row r="191" spans="1:114" s="46" customFormat="1" ht="19.5" customHeight="1">
      <c r="A191" s="153" t="s">
        <v>15</v>
      </c>
      <c r="B191" s="64">
        <f>B184</f>
        <v>7880</v>
      </c>
      <c r="C191" s="2"/>
      <c r="D191" s="64">
        <f>SUM(D184:D190)</f>
        <v>351257.06999999995</v>
      </c>
      <c r="E191" s="22"/>
      <c r="F191" s="9">
        <f>F184</f>
        <v>0</v>
      </c>
      <c r="G191" s="41"/>
      <c r="H191" s="8">
        <f>SUM(H184:H190)</f>
        <v>0</v>
      </c>
      <c r="I191" s="8"/>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row>
    <row r="192" spans="1:114" s="46" customFormat="1" ht="192" customHeight="1">
      <c r="A192" s="254" t="s">
        <v>53</v>
      </c>
      <c r="B192" s="261">
        <v>138</v>
      </c>
      <c r="C192" s="156" t="s">
        <v>309</v>
      </c>
      <c r="D192" s="122">
        <f>319625.29+17042.8+4074.69+650.94+563.44+7464.82</f>
        <v>349421.98</v>
      </c>
      <c r="E192" s="105" t="s">
        <v>87</v>
      </c>
      <c r="F192" s="266"/>
      <c r="G192" s="268"/>
      <c r="H192" s="8"/>
      <c r="I192" s="8"/>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row>
    <row r="193" spans="1:114" s="46" customFormat="1" ht="58.5" customHeight="1">
      <c r="A193" s="260"/>
      <c r="B193" s="262"/>
      <c r="C193" s="158" t="s">
        <v>161</v>
      </c>
      <c r="D193" s="122">
        <f>7740+6552+420</f>
        <v>14712</v>
      </c>
      <c r="E193" s="122" t="s">
        <v>108</v>
      </c>
      <c r="F193" s="270"/>
      <c r="G193" s="271"/>
      <c r="H193" s="8"/>
      <c r="I193" s="8"/>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row>
    <row r="194" spans="1:114" s="46" customFormat="1" ht="19.5" customHeight="1">
      <c r="A194" s="260"/>
      <c r="B194" s="262"/>
      <c r="C194" s="158" t="s">
        <v>194</v>
      </c>
      <c r="D194" s="122"/>
      <c r="E194" s="138"/>
      <c r="F194" s="270"/>
      <c r="G194" s="271"/>
      <c r="H194" s="8"/>
      <c r="I194" s="8"/>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row>
    <row r="195" spans="1:114" s="46" customFormat="1" ht="19.5" customHeight="1">
      <c r="A195" s="260"/>
      <c r="B195" s="262"/>
      <c r="C195" s="21" t="s">
        <v>85</v>
      </c>
      <c r="D195" s="60">
        <v>18385.5</v>
      </c>
      <c r="E195" s="125" t="s">
        <v>86</v>
      </c>
      <c r="F195" s="270"/>
      <c r="G195" s="271"/>
      <c r="H195" s="8"/>
      <c r="I195" s="8"/>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row>
    <row r="196" spans="1:114" s="46" customFormat="1" ht="27" customHeight="1">
      <c r="A196" s="260"/>
      <c r="B196" s="262"/>
      <c r="C196" s="158" t="s">
        <v>254</v>
      </c>
      <c r="D196" s="122">
        <f>2440+5083.23</f>
        <v>7523.23</v>
      </c>
      <c r="E196" s="138" t="s">
        <v>198</v>
      </c>
      <c r="F196" s="270"/>
      <c r="G196" s="271"/>
      <c r="H196" s="8"/>
      <c r="I196" s="8"/>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row>
    <row r="197" spans="1:114" s="46" customFormat="1" ht="19.5" customHeight="1">
      <c r="A197" s="260"/>
      <c r="B197" s="262"/>
      <c r="C197" s="158" t="s">
        <v>134</v>
      </c>
      <c r="D197" s="122">
        <v>4320</v>
      </c>
      <c r="E197" s="106" t="s">
        <v>141</v>
      </c>
      <c r="F197" s="267"/>
      <c r="G197" s="269"/>
      <c r="H197" s="61"/>
      <c r="I197" s="8"/>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row>
    <row r="198" spans="1:114" s="46" customFormat="1" ht="21" customHeight="1">
      <c r="A198" s="153" t="s">
        <v>15</v>
      </c>
      <c r="B198" s="64">
        <f>SUM(B192)</f>
        <v>138</v>
      </c>
      <c r="C198" s="2"/>
      <c r="D198" s="64">
        <f>SUM(D192:D197)</f>
        <v>394362.70999999996</v>
      </c>
      <c r="E198" s="22"/>
      <c r="F198" s="9">
        <f>F192</f>
        <v>0</v>
      </c>
      <c r="G198" s="41"/>
      <c r="H198" s="8">
        <f>SUM(H192:H197)</f>
        <v>0</v>
      </c>
      <c r="I198" s="8"/>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row>
    <row r="199" spans="1:114" s="46" customFormat="1" ht="33.75" customHeight="1">
      <c r="A199" s="254" t="s">
        <v>77</v>
      </c>
      <c r="B199" s="261"/>
      <c r="C199" s="152" t="s">
        <v>223</v>
      </c>
      <c r="D199" s="59">
        <v>643552.58</v>
      </c>
      <c r="E199" s="105" t="s">
        <v>87</v>
      </c>
      <c r="F199" s="9"/>
      <c r="G199" s="41"/>
      <c r="H199" s="8"/>
      <c r="I199" s="8"/>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row>
    <row r="200" spans="1:114" s="46" customFormat="1" ht="33.75" customHeight="1">
      <c r="A200" s="260"/>
      <c r="B200" s="262"/>
      <c r="C200" s="21" t="s">
        <v>292</v>
      </c>
      <c r="D200" s="60">
        <v>113811</v>
      </c>
      <c r="E200" s="105" t="s">
        <v>293</v>
      </c>
      <c r="F200" s="181"/>
      <c r="G200" s="182"/>
      <c r="H200" s="8"/>
      <c r="I200" s="8"/>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row>
    <row r="201" spans="1:114" s="46" customFormat="1" ht="27.75" customHeight="1">
      <c r="A201" s="255"/>
      <c r="B201" s="265"/>
      <c r="C201" s="166" t="s">
        <v>254</v>
      </c>
      <c r="D201" s="148">
        <f>5490+5083.23</f>
        <v>10573.23</v>
      </c>
      <c r="E201" s="109" t="s">
        <v>198</v>
      </c>
      <c r="F201" s="170"/>
      <c r="G201" s="110"/>
      <c r="H201" s="8"/>
      <c r="I201" s="8"/>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row>
    <row r="202" spans="1:114" s="46" customFormat="1" ht="19.5" customHeight="1">
      <c r="A202" s="153" t="s">
        <v>15</v>
      </c>
      <c r="B202" s="22">
        <f>SUM(B199)</f>
        <v>0</v>
      </c>
      <c r="C202" s="2"/>
      <c r="D202" s="23">
        <f>SUM(D199:D201)</f>
        <v>767936.8099999999</v>
      </c>
      <c r="E202" s="103"/>
      <c r="F202" s="9"/>
      <c r="G202" s="41"/>
      <c r="H202" s="8">
        <f>SUM(H201:H201)</f>
        <v>0</v>
      </c>
      <c r="I202" s="8"/>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row>
    <row r="203" spans="1:114" s="46" customFormat="1" ht="134.25" customHeight="1">
      <c r="A203" s="254" t="s">
        <v>38</v>
      </c>
      <c r="B203" s="261"/>
      <c r="C203" s="156" t="s">
        <v>310</v>
      </c>
      <c r="D203" s="59">
        <f>251683.58+10966.8+1023.96+29824.9+3964.95+1056.45+4074.69+2756.66+1857.79+11470.23</f>
        <v>318680.01</v>
      </c>
      <c r="E203" s="105" t="s">
        <v>87</v>
      </c>
      <c r="F203" s="266"/>
      <c r="G203" s="268"/>
      <c r="H203" s="57"/>
      <c r="I203" s="14"/>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row>
    <row r="204" spans="1:114" s="46" customFormat="1" ht="24.75" customHeight="1">
      <c r="A204" s="260"/>
      <c r="B204" s="262"/>
      <c r="C204" s="21" t="s">
        <v>85</v>
      </c>
      <c r="D204" s="60">
        <v>9192.75</v>
      </c>
      <c r="E204" s="125" t="s">
        <v>86</v>
      </c>
      <c r="F204" s="270"/>
      <c r="G204" s="271"/>
      <c r="H204" s="57"/>
      <c r="I204" s="14"/>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row>
    <row r="205" spans="1:114" s="46" customFormat="1" ht="36" customHeight="1">
      <c r="A205" s="255"/>
      <c r="B205" s="265"/>
      <c r="C205" s="152" t="s">
        <v>254</v>
      </c>
      <c r="D205" s="82">
        <f>6710+5083.23</f>
        <v>11793.23</v>
      </c>
      <c r="E205" s="122" t="s">
        <v>198</v>
      </c>
      <c r="F205" s="267"/>
      <c r="G205" s="269"/>
      <c r="H205" s="8"/>
      <c r="I205" s="8"/>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row>
    <row r="206" spans="1:114" s="46" customFormat="1" ht="19.5" customHeight="1">
      <c r="A206" s="153" t="s">
        <v>15</v>
      </c>
      <c r="B206" s="22">
        <f>B203</f>
        <v>0</v>
      </c>
      <c r="C206" s="2"/>
      <c r="D206" s="23">
        <f>SUM(D203:D205)</f>
        <v>339665.99</v>
      </c>
      <c r="E206" s="59"/>
      <c r="F206" s="9">
        <f>F203</f>
        <v>0</v>
      </c>
      <c r="G206" s="41"/>
      <c r="H206" s="8">
        <f>SUM(H203:H205)</f>
        <v>0</v>
      </c>
      <c r="I206" s="8"/>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row>
    <row r="207" spans="1:114" s="46" customFormat="1" ht="187.5" customHeight="1">
      <c r="A207" s="254" t="s">
        <v>56</v>
      </c>
      <c r="B207" s="261">
        <f>150+63.25</f>
        <v>213.25</v>
      </c>
      <c r="C207" s="128" t="s">
        <v>312</v>
      </c>
      <c r="D207" s="60">
        <f>236102.05+21053+5964.98+4074.69+1274.47+563.44+650.94</f>
        <v>269683.56999999995</v>
      </c>
      <c r="E207" s="105" t="s">
        <v>87</v>
      </c>
      <c r="F207" s="266"/>
      <c r="G207" s="274"/>
      <c r="H207" s="57"/>
      <c r="I207" s="14"/>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row>
    <row r="208" spans="1:114" s="46" customFormat="1" ht="19.5" customHeight="1">
      <c r="A208" s="260"/>
      <c r="B208" s="262"/>
      <c r="C208" s="149" t="s">
        <v>118</v>
      </c>
      <c r="D208" s="60"/>
      <c r="E208" s="105"/>
      <c r="F208" s="270"/>
      <c r="G208" s="275"/>
      <c r="H208" s="57"/>
      <c r="I208" s="14"/>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row>
    <row r="209" spans="1:114" s="46" customFormat="1" ht="19.5" customHeight="1">
      <c r="A209" s="260"/>
      <c r="B209" s="262"/>
      <c r="C209" s="21" t="s">
        <v>85</v>
      </c>
      <c r="D209" s="60">
        <v>27578.25</v>
      </c>
      <c r="E209" s="125" t="s">
        <v>86</v>
      </c>
      <c r="F209" s="270"/>
      <c r="G209" s="275"/>
      <c r="H209" s="57"/>
      <c r="I209" s="14"/>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row>
    <row r="210" spans="1:114" s="46" customFormat="1" ht="33.75" customHeight="1">
      <c r="A210" s="260"/>
      <c r="B210" s="262"/>
      <c r="C210" s="149" t="s">
        <v>254</v>
      </c>
      <c r="D210" s="60">
        <f>1220+5083.23</f>
        <v>6303.23</v>
      </c>
      <c r="E210" s="105" t="s">
        <v>198</v>
      </c>
      <c r="F210" s="270"/>
      <c r="G210" s="275"/>
      <c r="H210" s="57"/>
      <c r="I210" s="14"/>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row>
    <row r="211" spans="1:114" s="46" customFormat="1" ht="39.75" customHeight="1">
      <c r="A211" s="260"/>
      <c r="B211" s="262"/>
      <c r="C211" s="149" t="s">
        <v>176</v>
      </c>
      <c r="D211" s="60">
        <f>1314+4080+432</f>
        <v>5826</v>
      </c>
      <c r="E211" s="105" t="s">
        <v>175</v>
      </c>
      <c r="F211" s="270"/>
      <c r="G211" s="275"/>
      <c r="H211" s="57"/>
      <c r="I211" s="14"/>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row>
    <row r="212" spans="1:114" s="46" customFormat="1" ht="53.25" customHeight="1">
      <c r="A212" s="255"/>
      <c r="B212" s="265"/>
      <c r="C212" s="114" t="s">
        <v>162</v>
      </c>
      <c r="D212" s="82">
        <f>7740+6242</f>
        <v>13982</v>
      </c>
      <c r="E212" s="59" t="s">
        <v>131</v>
      </c>
      <c r="F212" s="267"/>
      <c r="G212" s="276"/>
      <c r="H212" s="8"/>
      <c r="I212" s="8"/>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row>
    <row r="213" spans="1:114" s="46" customFormat="1" ht="21.75" customHeight="1">
      <c r="A213" s="153" t="s">
        <v>15</v>
      </c>
      <c r="B213" s="22">
        <f>B207</f>
        <v>213.25</v>
      </c>
      <c r="C213" s="2"/>
      <c r="D213" s="23">
        <f>SUM(D207:D212)</f>
        <v>323373.04999999993</v>
      </c>
      <c r="E213" s="59"/>
      <c r="F213" s="9">
        <f>F207</f>
        <v>0</v>
      </c>
      <c r="G213" s="41"/>
      <c r="H213" s="8">
        <f>SUM(H207:H212)</f>
        <v>0</v>
      </c>
      <c r="I213" s="8"/>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row>
    <row r="214" spans="1:114" s="46" customFormat="1" ht="21" customHeight="1">
      <c r="A214" s="254" t="s">
        <v>78</v>
      </c>
      <c r="B214" s="261"/>
      <c r="C214" s="156" t="s">
        <v>81</v>
      </c>
      <c r="D214" s="144">
        <v>673.92</v>
      </c>
      <c r="E214" s="105" t="s">
        <v>91</v>
      </c>
      <c r="F214" s="126"/>
      <c r="G214" s="119"/>
      <c r="H214" s="8"/>
      <c r="I214" s="8"/>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row>
    <row r="215" spans="1:114" s="46" customFormat="1" ht="24.75" customHeight="1">
      <c r="A215" s="260"/>
      <c r="B215" s="262"/>
      <c r="C215" s="128" t="s">
        <v>81</v>
      </c>
      <c r="D215" s="109">
        <v>2560.9</v>
      </c>
      <c r="E215" s="59" t="s">
        <v>92</v>
      </c>
      <c r="F215" s="126"/>
      <c r="G215" s="119"/>
      <c r="H215" s="8"/>
      <c r="I215" s="8"/>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row>
    <row r="216" spans="1:114" s="46" customFormat="1" ht="54" customHeight="1">
      <c r="A216" s="260"/>
      <c r="B216" s="262"/>
      <c r="C216" s="136" t="s">
        <v>93</v>
      </c>
      <c r="D216" s="131">
        <v>165000</v>
      </c>
      <c r="E216" s="135" t="s">
        <v>97</v>
      </c>
      <c r="F216" s="126"/>
      <c r="G216" s="119"/>
      <c r="H216" s="8"/>
      <c r="I216" s="8"/>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row>
    <row r="217" spans="1:114" s="46" customFormat="1" ht="117" customHeight="1">
      <c r="A217" s="260"/>
      <c r="B217" s="262"/>
      <c r="C217" s="128" t="s">
        <v>311</v>
      </c>
      <c r="D217" s="148">
        <f>637855.98+111776+6725.49</f>
        <v>756357.47</v>
      </c>
      <c r="E217" s="105" t="s">
        <v>87</v>
      </c>
      <c r="F217" s="266"/>
      <c r="G217" s="268"/>
      <c r="H217" s="59"/>
      <c r="I217" s="94"/>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row>
    <row r="218" spans="1:114" s="46" customFormat="1" ht="22.5" customHeight="1">
      <c r="A218" s="260"/>
      <c r="B218" s="262"/>
      <c r="C218" s="156" t="s">
        <v>143</v>
      </c>
      <c r="D218" s="122">
        <f>75+544</f>
        <v>619</v>
      </c>
      <c r="E218" s="105" t="s">
        <v>108</v>
      </c>
      <c r="F218" s="270"/>
      <c r="G218" s="271"/>
      <c r="H218" s="59"/>
      <c r="I218" s="94"/>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row>
    <row r="219" spans="1:114" s="46" customFormat="1" ht="25.5">
      <c r="A219" s="255"/>
      <c r="B219" s="265"/>
      <c r="C219" s="162" t="s">
        <v>254</v>
      </c>
      <c r="D219" s="122">
        <f>3172+5083.23</f>
        <v>8255.23</v>
      </c>
      <c r="E219" s="105" t="s">
        <v>198</v>
      </c>
      <c r="F219" s="267"/>
      <c r="G219" s="269"/>
      <c r="H219" s="8"/>
      <c r="I219" s="8"/>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row>
    <row r="220" spans="1:114" s="46" customFormat="1" ht="19.5" customHeight="1">
      <c r="A220" s="153" t="s">
        <v>15</v>
      </c>
      <c r="B220" s="22">
        <f>SUM(B214)</f>
        <v>0</v>
      </c>
      <c r="C220" s="2"/>
      <c r="D220" s="23">
        <f>SUM(D214:D219)</f>
        <v>933466.52</v>
      </c>
      <c r="E220" s="59"/>
      <c r="F220" s="9">
        <f>F217</f>
        <v>0</v>
      </c>
      <c r="G220" s="41"/>
      <c r="H220" s="8">
        <f>SUM(H217:H219)</f>
        <v>0</v>
      </c>
      <c r="I220" s="8"/>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row>
    <row r="221" spans="1:114" s="46" customFormat="1" ht="20.25" customHeight="1" hidden="1">
      <c r="A221" s="254" t="s">
        <v>39</v>
      </c>
      <c r="B221" s="261"/>
      <c r="C221" s="272"/>
      <c r="D221" s="83"/>
      <c r="E221" s="16"/>
      <c r="F221" s="266"/>
      <c r="G221" s="268"/>
      <c r="H221" s="57"/>
      <c r="I221" s="14"/>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row>
    <row r="222" spans="1:114" s="46" customFormat="1" ht="0.75" customHeight="1" hidden="1">
      <c r="A222" s="260"/>
      <c r="B222" s="262"/>
      <c r="C222" s="273"/>
      <c r="D222" s="88"/>
      <c r="E222" s="88"/>
      <c r="F222" s="270"/>
      <c r="G222" s="271"/>
      <c r="H222" s="8"/>
      <c r="I222" s="8"/>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row>
    <row r="223" spans="1:114" s="46" customFormat="1" ht="20.25" customHeight="1" hidden="1">
      <c r="A223" s="255"/>
      <c r="B223" s="265"/>
      <c r="C223" s="152"/>
      <c r="D223" s="59"/>
      <c r="E223" s="78"/>
      <c r="F223" s="267"/>
      <c r="G223" s="269"/>
      <c r="H223" s="8"/>
      <c r="I223" s="8"/>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row>
    <row r="224" spans="1:114" s="46" customFormat="1" ht="19.5" customHeight="1" hidden="1">
      <c r="A224" s="153" t="s">
        <v>15</v>
      </c>
      <c r="B224" s="22">
        <f>SUM(B221)</f>
        <v>0</v>
      </c>
      <c r="C224" s="2"/>
      <c r="D224" s="23">
        <f>SUM(D221:D223)</f>
        <v>0</v>
      </c>
      <c r="E224" s="59"/>
      <c r="F224" s="9">
        <f>F221</f>
        <v>0</v>
      </c>
      <c r="G224" s="41"/>
      <c r="H224" s="8">
        <f>SUM(H221:H223)</f>
        <v>0</v>
      </c>
      <c r="I224" s="8"/>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5"/>
      <c r="CK224" s="45"/>
      <c r="CL224" s="45"/>
      <c r="CM224" s="45"/>
      <c r="CN224" s="45"/>
      <c r="CO224" s="45"/>
      <c r="CP224" s="45"/>
      <c r="CQ224" s="45"/>
      <c r="CR224" s="45"/>
      <c r="CS224" s="45"/>
      <c r="CT224" s="45"/>
      <c r="CU224" s="45"/>
      <c r="CV224" s="45"/>
      <c r="CW224" s="45"/>
      <c r="CX224" s="45"/>
      <c r="CY224" s="45"/>
      <c r="CZ224" s="45"/>
      <c r="DA224" s="45"/>
      <c r="DB224" s="45"/>
      <c r="DC224" s="45"/>
      <c r="DD224" s="45"/>
      <c r="DE224" s="45"/>
      <c r="DF224" s="45"/>
      <c r="DG224" s="45"/>
      <c r="DH224" s="45"/>
      <c r="DI224" s="45"/>
      <c r="DJ224" s="45"/>
    </row>
    <row r="225" spans="1:114" s="46" customFormat="1" ht="27.75" customHeight="1">
      <c r="A225" s="254" t="s">
        <v>40</v>
      </c>
      <c r="B225" s="261">
        <v>120</v>
      </c>
      <c r="C225" s="156" t="s">
        <v>81</v>
      </c>
      <c r="D225" s="144">
        <v>673.92</v>
      </c>
      <c r="E225" s="105" t="s">
        <v>91</v>
      </c>
      <c r="F225" s="126"/>
      <c r="G225" s="119"/>
      <c r="H225" s="8"/>
      <c r="I225" s="8"/>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row>
    <row r="226" spans="1:114" s="46" customFormat="1" ht="24.75" customHeight="1">
      <c r="A226" s="260"/>
      <c r="B226" s="262"/>
      <c r="C226" s="128" t="s">
        <v>81</v>
      </c>
      <c r="D226" s="109">
        <v>1920.47</v>
      </c>
      <c r="E226" s="59" t="s">
        <v>92</v>
      </c>
      <c r="F226" s="126"/>
      <c r="G226" s="119"/>
      <c r="H226" s="8"/>
      <c r="I226" s="8"/>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row>
    <row r="227" spans="1:114" s="46" customFormat="1" ht="61.5" customHeight="1">
      <c r="A227" s="260"/>
      <c r="B227" s="262"/>
      <c r="C227" s="136" t="s">
        <v>93</v>
      </c>
      <c r="D227" s="131">
        <v>165000</v>
      </c>
      <c r="E227" s="135" t="s">
        <v>97</v>
      </c>
      <c r="F227" s="266"/>
      <c r="G227" s="268"/>
      <c r="H227" s="57"/>
      <c r="I227" s="14"/>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row>
    <row r="228" spans="1:114" s="46" customFormat="1" ht="149.25" customHeight="1">
      <c r="A228" s="260"/>
      <c r="B228" s="262"/>
      <c r="C228" s="128" t="s">
        <v>344</v>
      </c>
      <c r="D228" s="148">
        <f>461135.58+31529.18+140.43+557.32+4074.69+12744.7+563.44+6529.45+65200.66+3267.09</f>
        <v>585742.54</v>
      </c>
      <c r="E228" s="105" t="s">
        <v>87</v>
      </c>
      <c r="F228" s="270"/>
      <c r="G228" s="271"/>
      <c r="H228" s="57"/>
      <c r="I228" s="14"/>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c r="CO228" s="45"/>
      <c r="CP228" s="45"/>
      <c r="CQ228" s="45"/>
      <c r="CR228" s="45"/>
      <c r="CS228" s="45"/>
      <c r="CT228" s="45"/>
      <c r="CU228" s="45"/>
      <c r="CV228" s="45"/>
      <c r="CW228" s="45"/>
      <c r="CX228" s="45"/>
      <c r="CY228" s="45"/>
      <c r="CZ228" s="45"/>
      <c r="DA228" s="45"/>
      <c r="DB228" s="45"/>
      <c r="DC228" s="45"/>
      <c r="DD228" s="45"/>
      <c r="DE228" s="45"/>
      <c r="DF228" s="45"/>
      <c r="DG228" s="45"/>
      <c r="DH228" s="45"/>
      <c r="DI228" s="45"/>
      <c r="DJ228" s="45"/>
    </row>
    <row r="229" spans="1:114" s="46" customFormat="1" ht="25.5" customHeight="1">
      <c r="A229" s="260"/>
      <c r="B229" s="262"/>
      <c r="C229" s="21" t="s">
        <v>85</v>
      </c>
      <c r="D229" s="60">
        <v>18385.5</v>
      </c>
      <c r="E229" s="125" t="s">
        <v>86</v>
      </c>
      <c r="F229" s="270"/>
      <c r="G229" s="271"/>
      <c r="H229" s="57"/>
      <c r="I229" s="14"/>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c r="CR229" s="45"/>
      <c r="CS229" s="45"/>
      <c r="CT229" s="45"/>
      <c r="CU229" s="45"/>
      <c r="CV229" s="45"/>
      <c r="CW229" s="45"/>
      <c r="CX229" s="45"/>
      <c r="CY229" s="45"/>
      <c r="CZ229" s="45"/>
      <c r="DA229" s="45"/>
      <c r="DB229" s="45"/>
      <c r="DC229" s="45"/>
      <c r="DD229" s="45"/>
      <c r="DE229" s="45"/>
      <c r="DF229" s="45"/>
      <c r="DG229" s="45"/>
      <c r="DH229" s="45"/>
      <c r="DI229" s="45"/>
      <c r="DJ229" s="45"/>
    </row>
    <row r="230" spans="1:114" s="46" customFormat="1" ht="26.25" customHeight="1">
      <c r="A230" s="260"/>
      <c r="B230" s="262"/>
      <c r="C230" s="128" t="s">
        <v>254</v>
      </c>
      <c r="D230" s="148">
        <f>9760+5083.23</f>
        <v>14843.23</v>
      </c>
      <c r="E230" s="105" t="s">
        <v>198</v>
      </c>
      <c r="F230" s="270"/>
      <c r="G230" s="271"/>
      <c r="H230" s="57"/>
      <c r="I230" s="14"/>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row>
    <row r="231" spans="1:114" s="46" customFormat="1" ht="21.75" customHeight="1">
      <c r="A231" s="260"/>
      <c r="B231" s="262"/>
      <c r="C231" s="156" t="s">
        <v>81</v>
      </c>
      <c r="D231" s="122">
        <v>960</v>
      </c>
      <c r="E231" s="105" t="s">
        <v>117</v>
      </c>
      <c r="F231" s="270"/>
      <c r="G231" s="271"/>
      <c r="H231" s="57"/>
      <c r="I231" s="14"/>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row>
    <row r="232" spans="1:114" s="46" customFormat="1" ht="27" customHeight="1">
      <c r="A232" s="260"/>
      <c r="B232" s="262"/>
      <c r="C232" s="156" t="s">
        <v>155</v>
      </c>
      <c r="D232" s="131">
        <v>40</v>
      </c>
      <c r="E232" s="105" t="s">
        <v>108</v>
      </c>
      <c r="F232" s="270"/>
      <c r="G232" s="271"/>
      <c r="H232" s="57"/>
      <c r="I232" s="14"/>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c r="CW232" s="45"/>
      <c r="CX232" s="45"/>
      <c r="CY232" s="45"/>
      <c r="CZ232" s="45"/>
      <c r="DA232" s="45"/>
      <c r="DB232" s="45"/>
      <c r="DC232" s="45"/>
      <c r="DD232" s="45"/>
      <c r="DE232" s="45"/>
      <c r="DF232" s="45"/>
      <c r="DG232" s="45"/>
      <c r="DH232" s="45"/>
      <c r="DI232" s="45"/>
      <c r="DJ232" s="45"/>
    </row>
    <row r="233" spans="1:114" s="46" customFormat="1" ht="20.25" customHeight="1">
      <c r="A233" s="255"/>
      <c r="B233" s="265"/>
      <c r="C233" s="158" t="s">
        <v>194</v>
      </c>
      <c r="D233" s="122"/>
      <c r="E233" s="109"/>
      <c r="F233" s="267"/>
      <c r="G233" s="269"/>
      <c r="H233" s="8"/>
      <c r="I233" s="8"/>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45"/>
      <c r="CA233" s="45"/>
      <c r="CB233" s="45"/>
      <c r="CC233" s="45"/>
      <c r="CD233" s="45"/>
      <c r="CE233" s="45"/>
      <c r="CF233" s="45"/>
      <c r="CG233" s="45"/>
      <c r="CH233" s="45"/>
      <c r="CI233" s="45"/>
      <c r="CJ233" s="45"/>
      <c r="CK233" s="45"/>
      <c r="CL233" s="45"/>
      <c r="CM233" s="45"/>
      <c r="CN233" s="45"/>
      <c r="CO233" s="45"/>
      <c r="CP233" s="45"/>
      <c r="CQ233" s="45"/>
      <c r="CR233" s="45"/>
      <c r="CS233" s="45"/>
      <c r="CT233" s="45"/>
      <c r="CU233" s="45"/>
      <c r="CV233" s="45"/>
      <c r="CW233" s="45"/>
      <c r="CX233" s="45"/>
      <c r="CY233" s="45"/>
      <c r="CZ233" s="45"/>
      <c r="DA233" s="45"/>
      <c r="DB233" s="45"/>
      <c r="DC233" s="45"/>
      <c r="DD233" s="45"/>
      <c r="DE233" s="45"/>
      <c r="DF233" s="45"/>
      <c r="DG233" s="45"/>
      <c r="DH233" s="45"/>
      <c r="DI233" s="45"/>
      <c r="DJ233" s="45"/>
    </row>
    <row r="234" spans="1:114" s="46" customFormat="1" ht="21" customHeight="1">
      <c r="A234" s="153" t="s">
        <v>15</v>
      </c>
      <c r="B234" s="22">
        <f>SUM(B225)</f>
        <v>120</v>
      </c>
      <c r="C234" s="2"/>
      <c r="D234" s="23">
        <f>SUM(D225:D233)</f>
        <v>787565.66</v>
      </c>
      <c r="E234" s="103"/>
      <c r="F234" s="9">
        <f>F227</f>
        <v>0</v>
      </c>
      <c r="G234" s="41"/>
      <c r="H234" s="8">
        <f>SUM(H227:H233)</f>
        <v>0</v>
      </c>
      <c r="I234" s="8"/>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45"/>
      <c r="CA234" s="45"/>
      <c r="CB234" s="45"/>
      <c r="CC234" s="45"/>
      <c r="CD234" s="45"/>
      <c r="CE234" s="45"/>
      <c r="CF234" s="45"/>
      <c r="CG234" s="45"/>
      <c r="CH234" s="45"/>
      <c r="CI234" s="45"/>
      <c r="CJ234" s="45"/>
      <c r="CK234" s="45"/>
      <c r="CL234" s="45"/>
      <c r="CM234" s="45"/>
      <c r="CN234" s="45"/>
      <c r="CO234" s="45"/>
      <c r="CP234" s="45"/>
      <c r="CQ234" s="45"/>
      <c r="CR234" s="45"/>
      <c r="CS234" s="45"/>
      <c r="CT234" s="45"/>
      <c r="CU234" s="45"/>
      <c r="CV234" s="45"/>
      <c r="CW234" s="45"/>
      <c r="CX234" s="45"/>
      <c r="CY234" s="45"/>
      <c r="CZ234" s="45"/>
      <c r="DA234" s="45"/>
      <c r="DB234" s="45"/>
      <c r="DC234" s="45"/>
      <c r="DD234" s="45"/>
      <c r="DE234" s="45"/>
      <c r="DF234" s="45"/>
      <c r="DG234" s="45"/>
      <c r="DH234" s="45"/>
      <c r="DI234" s="45"/>
      <c r="DJ234" s="45"/>
    </row>
    <row r="235" spans="1:114" s="46" customFormat="1" ht="143.25" customHeight="1">
      <c r="A235" s="254" t="s">
        <v>31</v>
      </c>
      <c r="B235" s="261"/>
      <c r="C235" s="156" t="s">
        <v>313</v>
      </c>
      <c r="D235" s="59">
        <f>265899.98+3964.95+18066.76+17882.44</f>
        <v>305814.13</v>
      </c>
      <c r="E235" s="105" t="s">
        <v>87</v>
      </c>
      <c r="F235" s="266"/>
      <c r="G235" s="268"/>
      <c r="H235" s="57"/>
      <c r="I235" s="14"/>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5"/>
      <c r="CN235" s="45"/>
      <c r="CO235" s="45"/>
      <c r="CP235" s="45"/>
      <c r="CQ235" s="45"/>
      <c r="CR235" s="45"/>
      <c r="CS235" s="45"/>
      <c r="CT235" s="45"/>
      <c r="CU235" s="45"/>
      <c r="CV235" s="45"/>
      <c r="CW235" s="45"/>
      <c r="CX235" s="45"/>
      <c r="CY235" s="45"/>
      <c r="CZ235" s="45"/>
      <c r="DA235" s="45"/>
      <c r="DB235" s="45"/>
      <c r="DC235" s="45"/>
      <c r="DD235" s="45"/>
      <c r="DE235" s="45"/>
      <c r="DF235" s="45"/>
      <c r="DG235" s="45"/>
      <c r="DH235" s="45"/>
      <c r="DI235" s="45"/>
      <c r="DJ235" s="45"/>
    </row>
    <row r="236" spans="1:114" s="46" customFormat="1" ht="27.75" customHeight="1">
      <c r="A236" s="260"/>
      <c r="B236" s="262"/>
      <c r="C236" s="21" t="s">
        <v>85</v>
      </c>
      <c r="D236" s="60">
        <v>110313</v>
      </c>
      <c r="E236" s="125" t="s">
        <v>86</v>
      </c>
      <c r="F236" s="270"/>
      <c r="G236" s="271"/>
      <c r="H236" s="57"/>
      <c r="I236" s="14"/>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c r="CJ236" s="45"/>
      <c r="CK236" s="45"/>
      <c r="CL236" s="45"/>
      <c r="CM236" s="45"/>
      <c r="CN236" s="45"/>
      <c r="CO236" s="45"/>
      <c r="CP236" s="45"/>
      <c r="CQ236" s="45"/>
      <c r="CR236" s="45"/>
      <c r="CS236" s="45"/>
      <c r="CT236" s="45"/>
      <c r="CU236" s="45"/>
      <c r="CV236" s="45"/>
      <c r="CW236" s="45"/>
      <c r="CX236" s="45"/>
      <c r="CY236" s="45"/>
      <c r="CZ236" s="45"/>
      <c r="DA236" s="45"/>
      <c r="DB236" s="45"/>
      <c r="DC236" s="45"/>
      <c r="DD236" s="45"/>
      <c r="DE236" s="45"/>
      <c r="DF236" s="45"/>
      <c r="DG236" s="45"/>
      <c r="DH236" s="45"/>
      <c r="DI236" s="45"/>
      <c r="DJ236" s="45"/>
    </row>
    <row r="237" spans="1:114" s="46" customFormat="1" ht="37.5" customHeight="1">
      <c r="A237" s="255"/>
      <c r="B237" s="265"/>
      <c r="C237" s="168" t="s">
        <v>254</v>
      </c>
      <c r="D237" s="59">
        <f>3050+5083.23</f>
        <v>8133.23</v>
      </c>
      <c r="E237" s="122" t="s">
        <v>198</v>
      </c>
      <c r="F237" s="267"/>
      <c r="G237" s="269"/>
      <c r="H237" s="8"/>
      <c r="I237" s="8"/>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5"/>
      <c r="CN237" s="45"/>
      <c r="CO237" s="45"/>
      <c r="CP237" s="45"/>
      <c r="CQ237" s="45"/>
      <c r="CR237" s="45"/>
      <c r="CS237" s="45"/>
      <c r="CT237" s="45"/>
      <c r="CU237" s="45"/>
      <c r="CV237" s="45"/>
      <c r="CW237" s="45"/>
      <c r="CX237" s="45"/>
      <c r="CY237" s="45"/>
      <c r="CZ237" s="45"/>
      <c r="DA237" s="45"/>
      <c r="DB237" s="45"/>
      <c r="DC237" s="45"/>
      <c r="DD237" s="45"/>
      <c r="DE237" s="45"/>
      <c r="DF237" s="45"/>
      <c r="DG237" s="45"/>
      <c r="DH237" s="45"/>
      <c r="DI237" s="45"/>
      <c r="DJ237" s="45"/>
    </row>
    <row r="238" spans="1:114" s="46" customFormat="1" ht="18.75" customHeight="1">
      <c r="A238" s="153" t="s">
        <v>15</v>
      </c>
      <c r="B238" s="22">
        <f>B235</f>
        <v>0</v>
      </c>
      <c r="C238" s="2"/>
      <c r="D238" s="23">
        <f>SUM(D235:D237)</f>
        <v>424260.36</v>
      </c>
      <c r="E238" s="22"/>
      <c r="F238" s="9">
        <f>F235</f>
        <v>0</v>
      </c>
      <c r="G238" s="41"/>
      <c r="H238" s="8">
        <f>SUM(H235:H237)</f>
        <v>0</v>
      </c>
      <c r="I238" s="8"/>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c r="CA238" s="45"/>
      <c r="CB238" s="45"/>
      <c r="CC238" s="45"/>
      <c r="CD238" s="45"/>
      <c r="CE238" s="45"/>
      <c r="CF238" s="45"/>
      <c r="CG238" s="45"/>
      <c r="CH238" s="45"/>
      <c r="CI238" s="45"/>
      <c r="CJ238" s="45"/>
      <c r="CK238" s="45"/>
      <c r="CL238" s="45"/>
      <c r="CM238" s="45"/>
      <c r="CN238" s="45"/>
      <c r="CO238" s="45"/>
      <c r="CP238" s="45"/>
      <c r="CQ238" s="45"/>
      <c r="CR238" s="45"/>
      <c r="CS238" s="45"/>
      <c r="CT238" s="45"/>
      <c r="CU238" s="45"/>
      <c r="CV238" s="45"/>
      <c r="CW238" s="45"/>
      <c r="CX238" s="45"/>
      <c r="CY238" s="45"/>
      <c r="CZ238" s="45"/>
      <c r="DA238" s="45"/>
      <c r="DB238" s="45"/>
      <c r="DC238" s="45"/>
      <c r="DD238" s="45"/>
      <c r="DE238" s="45"/>
      <c r="DF238" s="45"/>
      <c r="DG238" s="45"/>
      <c r="DH238" s="45"/>
      <c r="DI238" s="45"/>
      <c r="DJ238" s="45"/>
    </row>
    <row r="239" spans="1:114" s="46" customFormat="1" ht="178.5" customHeight="1">
      <c r="A239" s="254" t="s">
        <v>41</v>
      </c>
      <c r="B239" s="261">
        <f>420+26400+24</f>
        <v>26844</v>
      </c>
      <c r="C239" s="156" t="s">
        <v>314</v>
      </c>
      <c r="D239" s="59">
        <f>441879.3+29824.9+4074.69+5097.88+704.3+697.75</f>
        <v>482278.82</v>
      </c>
      <c r="E239" s="105" t="s">
        <v>87</v>
      </c>
      <c r="F239" s="266"/>
      <c r="G239" s="268"/>
      <c r="H239" s="8"/>
      <c r="I239" s="8"/>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5"/>
      <c r="BZ239" s="45"/>
      <c r="CA239" s="45"/>
      <c r="CB239" s="45"/>
      <c r="CC239" s="45"/>
      <c r="CD239" s="45"/>
      <c r="CE239" s="45"/>
      <c r="CF239" s="45"/>
      <c r="CG239" s="45"/>
      <c r="CH239" s="45"/>
      <c r="CI239" s="45"/>
      <c r="CJ239" s="45"/>
      <c r="CK239" s="45"/>
      <c r="CL239" s="45"/>
      <c r="CM239" s="45"/>
      <c r="CN239" s="45"/>
      <c r="CO239" s="45"/>
      <c r="CP239" s="45"/>
      <c r="CQ239" s="45"/>
      <c r="CR239" s="45"/>
      <c r="CS239" s="45"/>
      <c r="CT239" s="45"/>
      <c r="CU239" s="45"/>
      <c r="CV239" s="45"/>
      <c r="CW239" s="45"/>
      <c r="CX239" s="45"/>
      <c r="CY239" s="45"/>
      <c r="CZ239" s="45"/>
      <c r="DA239" s="45"/>
      <c r="DB239" s="45"/>
      <c r="DC239" s="45"/>
      <c r="DD239" s="45"/>
      <c r="DE239" s="45"/>
      <c r="DF239" s="45"/>
      <c r="DG239" s="45"/>
      <c r="DH239" s="45"/>
      <c r="DI239" s="45"/>
      <c r="DJ239" s="45"/>
    </row>
    <row r="240" spans="1:114" s="46" customFormat="1" ht="56.25" customHeight="1">
      <c r="A240" s="260"/>
      <c r="B240" s="262"/>
      <c r="C240" s="128" t="s">
        <v>163</v>
      </c>
      <c r="D240" s="109">
        <f>6420+8100+370</f>
        <v>14890</v>
      </c>
      <c r="E240" s="105" t="s">
        <v>108</v>
      </c>
      <c r="F240" s="270"/>
      <c r="G240" s="271"/>
      <c r="H240" s="8"/>
      <c r="I240" s="8"/>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c r="BK240" s="45"/>
      <c r="BL240" s="45"/>
      <c r="BM240" s="45"/>
      <c r="BN240" s="45"/>
      <c r="BO240" s="45"/>
      <c r="BP240" s="45"/>
      <c r="BQ240" s="45"/>
      <c r="BR240" s="45"/>
      <c r="BS240" s="45"/>
      <c r="BT240" s="45"/>
      <c r="BU240" s="45"/>
      <c r="BV240" s="45"/>
      <c r="BW240" s="45"/>
      <c r="BX240" s="45"/>
      <c r="BY240" s="45"/>
      <c r="BZ240" s="45"/>
      <c r="CA240" s="45"/>
      <c r="CB240" s="45"/>
      <c r="CC240" s="45"/>
      <c r="CD240" s="45"/>
      <c r="CE240" s="45"/>
      <c r="CF240" s="45"/>
      <c r="CG240" s="45"/>
      <c r="CH240" s="45"/>
      <c r="CI240" s="45"/>
      <c r="CJ240" s="45"/>
      <c r="CK240" s="45"/>
      <c r="CL240" s="45"/>
      <c r="CM240" s="45"/>
      <c r="CN240" s="45"/>
      <c r="CO240" s="45"/>
      <c r="CP240" s="45"/>
      <c r="CQ240" s="45"/>
      <c r="CR240" s="45"/>
      <c r="CS240" s="45"/>
      <c r="CT240" s="45"/>
      <c r="CU240" s="45"/>
      <c r="CV240" s="45"/>
      <c r="CW240" s="45"/>
      <c r="CX240" s="45"/>
      <c r="CY240" s="45"/>
      <c r="CZ240" s="45"/>
      <c r="DA240" s="45"/>
      <c r="DB240" s="45"/>
      <c r="DC240" s="45"/>
      <c r="DD240" s="45"/>
      <c r="DE240" s="45"/>
      <c r="DF240" s="45"/>
      <c r="DG240" s="45"/>
      <c r="DH240" s="45"/>
      <c r="DI240" s="45"/>
      <c r="DJ240" s="45"/>
    </row>
    <row r="241" spans="1:114" s="46" customFormat="1" ht="20.25" customHeight="1">
      <c r="A241" s="260"/>
      <c r="B241" s="262"/>
      <c r="C241" s="21" t="s">
        <v>85</v>
      </c>
      <c r="D241" s="60">
        <v>36771</v>
      </c>
      <c r="E241" s="125" t="s">
        <v>86</v>
      </c>
      <c r="F241" s="270"/>
      <c r="G241" s="271"/>
      <c r="H241" s="8"/>
      <c r="I241" s="8"/>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c r="BJ241" s="45"/>
      <c r="BK241" s="45"/>
      <c r="BL241" s="45"/>
      <c r="BM241" s="45"/>
      <c r="BN241" s="45"/>
      <c r="BO241" s="45"/>
      <c r="BP241" s="45"/>
      <c r="BQ241" s="45"/>
      <c r="BR241" s="45"/>
      <c r="BS241" s="45"/>
      <c r="BT241" s="45"/>
      <c r="BU241" s="45"/>
      <c r="BV241" s="45"/>
      <c r="BW241" s="45"/>
      <c r="BX241" s="45"/>
      <c r="BY241" s="45"/>
      <c r="BZ241" s="45"/>
      <c r="CA241" s="45"/>
      <c r="CB241" s="45"/>
      <c r="CC241" s="45"/>
      <c r="CD241" s="45"/>
      <c r="CE241" s="45"/>
      <c r="CF241" s="45"/>
      <c r="CG241" s="45"/>
      <c r="CH241" s="45"/>
      <c r="CI241" s="45"/>
      <c r="CJ241" s="45"/>
      <c r="CK241" s="45"/>
      <c r="CL241" s="45"/>
      <c r="CM241" s="45"/>
      <c r="CN241" s="45"/>
      <c r="CO241" s="45"/>
      <c r="CP241" s="45"/>
      <c r="CQ241" s="45"/>
      <c r="CR241" s="45"/>
      <c r="CS241" s="45"/>
      <c r="CT241" s="45"/>
      <c r="CU241" s="45"/>
      <c r="CV241" s="45"/>
      <c r="CW241" s="45"/>
      <c r="CX241" s="45"/>
      <c r="CY241" s="45"/>
      <c r="CZ241" s="45"/>
      <c r="DA241" s="45"/>
      <c r="DB241" s="45"/>
      <c r="DC241" s="45"/>
      <c r="DD241" s="45"/>
      <c r="DE241" s="45"/>
      <c r="DF241" s="45"/>
      <c r="DG241" s="45"/>
      <c r="DH241" s="45"/>
      <c r="DI241" s="45"/>
      <c r="DJ241" s="45"/>
    </row>
    <row r="242" spans="1:114" s="46" customFormat="1" ht="19.5" customHeight="1">
      <c r="A242" s="260"/>
      <c r="B242" s="262"/>
      <c r="C242" s="165" t="s">
        <v>195</v>
      </c>
      <c r="D242" s="109"/>
      <c r="E242" s="122"/>
      <c r="F242" s="270"/>
      <c r="G242" s="271"/>
      <c r="H242" s="8"/>
      <c r="I242" s="8"/>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c r="BK242" s="45"/>
      <c r="BL242" s="45"/>
      <c r="BM242" s="45"/>
      <c r="BN242" s="45"/>
      <c r="BO242" s="45"/>
      <c r="BP242" s="45"/>
      <c r="BQ242" s="45"/>
      <c r="BR242" s="45"/>
      <c r="BS242" s="45"/>
      <c r="BT242" s="45"/>
      <c r="BU242" s="45"/>
      <c r="BV242" s="45"/>
      <c r="BW242" s="45"/>
      <c r="BX242" s="45"/>
      <c r="BY242" s="45"/>
      <c r="BZ242" s="45"/>
      <c r="CA242" s="45"/>
      <c r="CB242" s="45"/>
      <c r="CC242" s="45"/>
      <c r="CD242" s="45"/>
      <c r="CE242" s="45"/>
      <c r="CF242" s="45"/>
      <c r="CG242" s="45"/>
      <c r="CH242" s="45"/>
      <c r="CI242" s="45"/>
      <c r="CJ242" s="45"/>
      <c r="CK242" s="45"/>
      <c r="CL242" s="45"/>
      <c r="CM242" s="45"/>
      <c r="CN242" s="45"/>
      <c r="CO242" s="45"/>
      <c r="CP242" s="45"/>
      <c r="CQ242" s="45"/>
      <c r="CR242" s="45"/>
      <c r="CS242" s="45"/>
      <c r="CT242" s="45"/>
      <c r="CU242" s="45"/>
      <c r="CV242" s="45"/>
      <c r="CW242" s="45"/>
      <c r="CX242" s="45"/>
      <c r="CY242" s="45"/>
      <c r="CZ242" s="45"/>
      <c r="DA242" s="45"/>
      <c r="DB242" s="45"/>
      <c r="DC242" s="45"/>
      <c r="DD242" s="45"/>
      <c r="DE242" s="45"/>
      <c r="DF242" s="45"/>
      <c r="DG242" s="45"/>
      <c r="DH242" s="45"/>
      <c r="DI242" s="45"/>
      <c r="DJ242" s="45"/>
    </row>
    <row r="243" spans="1:114" s="46" customFormat="1" ht="30" customHeight="1">
      <c r="A243" s="255"/>
      <c r="B243" s="265"/>
      <c r="C243" s="173" t="s">
        <v>254</v>
      </c>
      <c r="D243" s="82">
        <f>4270+5083.23</f>
        <v>9353.23</v>
      </c>
      <c r="E243" s="78" t="s">
        <v>198</v>
      </c>
      <c r="F243" s="267"/>
      <c r="G243" s="269"/>
      <c r="H243" s="59"/>
      <c r="I243" s="96"/>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5"/>
      <c r="CN243" s="45"/>
      <c r="CO243" s="45"/>
      <c r="CP243" s="45"/>
      <c r="CQ243" s="45"/>
      <c r="CR243" s="45"/>
      <c r="CS243" s="45"/>
      <c r="CT243" s="45"/>
      <c r="CU243" s="45"/>
      <c r="CV243" s="45"/>
      <c r="CW243" s="45"/>
      <c r="CX243" s="45"/>
      <c r="CY243" s="45"/>
      <c r="CZ243" s="45"/>
      <c r="DA243" s="45"/>
      <c r="DB243" s="45"/>
      <c r="DC243" s="45"/>
      <c r="DD243" s="45"/>
      <c r="DE243" s="45"/>
      <c r="DF243" s="45"/>
      <c r="DG243" s="45"/>
      <c r="DH243" s="45"/>
      <c r="DI243" s="45"/>
      <c r="DJ243" s="45"/>
    </row>
    <row r="244" spans="1:114" s="46" customFormat="1" ht="23.25" customHeight="1">
      <c r="A244" s="153" t="s">
        <v>15</v>
      </c>
      <c r="B244" s="22">
        <f>B239</f>
        <v>26844</v>
      </c>
      <c r="C244" s="2"/>
      <c r="D244" s="23">
        <f>SUM(D239:D243)</f>
        <v>543293.05</v>
      </c>
      <c r="E244" s="103"/>
      <c r="F244" s="9">
        <f>F239</f>
        <v>0</v>
      </c>
      <c r="G244" s="41"/>
      <c r="H244" s="8">
        <f>SUM(H239:H243)</f>
        <v>0</v>
      </c>
      <c r="I244" s="8"/>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c r="BN244" s="45"/>
      <c r="BO244" s="45"/>
      <c r="BP244" s="45"/>
      <c r="BQ244" s="45"/>
      <c r="BR244" s="45"/>
      <c r="BS244" s="45"/>
      <c r="BT244" s="45"/>
      <c r="BU244" s="45"/>
      <c r="BV244" s="45"/>
      <c r="BW244" s="45"/>
      <c r="BX244" s="45"/>
      <c r="BY244" s="45"/>
      <c r="BZ244" s="45"/>
      <c r="CA244" s="45"/>
      <c r="CB244" s="45"/>
      <c r="CC244" s="45"/>
      <c r="CD244" s="45"/>
      <c r="CE244" s="45"/>
      <c r="CF244" s="45"/>
      <c r="CG244" s="45"/>
      <c r="CH244" s="45"/>
      <c r="CI244" s="45"/>
      <c r="CJ244" s="45"/>
      <c r="CK244" s="45"/>
      <c r="CL244" s="45"/>
      <c r="CM244" s="45"/>
      <c r="CN244" s="45"/>
      <c r="CO244" s="45"/>
      <c r="CP244" s="45"/>
      <c r="CQ244" s="45"/>
      <c r="CR244" s="45"/>
      <c r="CS244" s="45"/>
      <c r="CT244" s="45"/>
      <c r="CU244" s="45"/>
      <c r="CV244" s="45"/>
      <c r="CW244" s="45"/>
      <c r="CX244" s="45"/>
      <c r="CY244" s="45"/>
      <c r="CZ244" s="45"/>
      <c r="DA244" s="45"/>
      <c r="DB244" s="45"/>
      <c r="DC244" s="45"/>
      <c r="DD244" s="45"/>
      <c r="DE244" s="45"/>
      <c r="DF244" s="45"/>
      <c r="DG244" s="45"/>
      <c r="DH244" s="45"/>
      <c r="DI244" s="45"/>
      <c r="DJ244" s="45"/>
    </row>
    <row r="245" spans="1:114" s="46" customFormat="1" ht="22.5" customHeight="1">
      <c r="A245" s="258" t="s">
        <v>79</v>
      </c>
      <c r="B245" s="256"/>
      <c r="C245" s="21"/>
      <c r="D245" s="60"/>
      <c r="E245" s="125"/>
      <c r="F245" s="9"/>
      <c r="G245" s="41"/>
      <c r="H245" s="8"/>
      <c r="I245" s="8"/>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c r="BN245" s="45"/>
      <c r="BO245" s="45"/>
      <c r="BP245" s="45"/>
      <c r="BQ245" s="45"/>
      <c r="BR245" s="45"/>
      <c r="BS245" s="45"/>
      <c r="BT245" s="45"/>
      <c r="BU245" s="45"/>
      <c r="BV245" s="45"/>
      <c r="BW245" s="45"/>
      <c r="BX245" s="45"/>
      <c r="BY245" s="45"/>
      <c r="BZ245" s="45"/>
      <c r="CA245" s="45"/>
      <c r="CB245" s="45"/>
      <c r="CC245" s="45"/>
      <c r="CD245" s="45"/>
      <c r="CE245" s="45"/>
      <c r="CF245" s="45"/>
      <c r="CG245" s="45"/>
      <c r="CH245" s="45"/>
      <c r="CI245" s="45"/>
      <c r="CJ245" s="45"/>
      <c r="CK245" s="45"/>
      <c r="CL245" s="45"/>
      <c r="CM245" s="45"/>
      <c r="CN245" s="45"/>
      <c r="CO245" s="45"/>
      <c r="CP245" s="45"/>
      <c r="CQ245" s="45"/>
      <c r="CR245" s="45"/>
      <c r="CS245" s="45"/>
      <c r="CT245" s="45"/>
      <c r="CU245" s="45"/>
      <c r="CV245" s="45"/>
      <c r="CW245" s="45"/>
      <c r="CX245" s="45"/>
      <c r="CY245" s="45"/>
      <c r="CZ245" s="45"/>
      <c r="DA245" s="45"/>
      <c r="DB245" s="45"/>
      <c r="DC245" s="45"/>
      <c r="DD245" s="45"/>
      <c r="DE245" s="45"/>
      <c r="DF245" s="45"/>
      <c r="DG245" s="45"/>
      <c r="DH245" s="45"/>
      <c r="DI245" s="45"/>
      <c r="DJ245" s="45"/>
    </row>
    <row r="246" spans="1:114" s="46" customFormat="1" ht="16.5" customHeight="1">
      <c r="A246" s="263"/>
      <c r="B246" s="264"/>
      <c r="C246" s="128"/>
      <c r="D246" s="60"/>
      <c r="E246" s="178"/>
      <c r="F246" s="9"/>
      <c r="G246" s="41"/>
      <c r="H246" s="8"/>
      <c r="I246" s="8"/>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c r="BN246" s="45"/>
      <c r="BO246" s="45"/>
      <c r="BP246" s="45"/>
      <c r="BQ246" s="45"/>
      <c r="BR246" s="45"/>
      <c r="BS246" s="45"/>
      <c r="BT246" s="45"/>
      <c r="BU246" s="45"/>
      <c r="BV246" s="45"/>
      <c r="BW246" s="45"/>
      <c r="BX246" s="45"/>
      <c r="BY246" s="45"/>
      <c r="BZ246" s="45"/>
      <c r="CA246" s="45"/>
      <c r="CB246" s="45"/>
      <c r="CC246" s="45"/>
      <c r="CD246" s="45"/>
      <c r="CE246" s="45"/>
      <c r="CF246" s="45"/>
      <c r="CG246" s="45"/>
      <c r="CH246" s="45"/>
      <c r="CI246" s="45"/>
      <c r="CJ246" s="45"/>
      <c r="CK246" s="45"/>
      <c r="CL246" s="45"/>
      <c r="CM246" s="45"/>
      <c r="CN246" s="45"/>
      <c r="CO246" s="45"/>
      <c r="CP246" s="45"/>
      <c r="CQ246" s="45"/>
      <c r="CR246" s="45"/>
      <c r="CS246" s="45"/>
      <c r="CT246" s="45"/>
      <c r="CU246" s="45"/>
      <c r="CV246" s="45"/>
      <c r="CW246" s="45"/>
      <c r="CX246" s="45"/>
      <c r="CY246" s="45"/>
      <c r="CZ246" s="45"/>
      <c r="DA246" s="45"/>
      <c r="DB246" s="45"/>
      <c r="DC246" s="45"/>
      <c r="DD246" s="45"/>
      <c r="DE246" s="45"/>
      <c r="DF246" s="45"/>
      <c r="DG246" s="45"/>
      <c r="DH246" s="45"/>
      <c r="DI246" s="45"/>
      <c r="DJ246" s="45"/>
    </row>
    <row r="247" spans="1:114" s="46" customFormat="1" ht="16.5" customHeight="1">
      <c r="A247" s="259"/>
      <c r="B247" s="257"/>
      <c r="C247" s="21"/>
      <c r="D247" s="60"/>
      <c r="E247" s="59"/>
      <c r="F247" s="12"/>
      <c r="G247" s="41"/>
      <c r="H247" s="5"/>
      <c r="I247" s="14"/>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c r="BN247" s="45"/>
      <c r="BO247" s="45"/>
      <c r="BP247" s="45"/>
      <c r="BQ247" s="45"/>
      <c r="BR247" s="45"/>
      <c r="BS247" s="45"/>
      <c r="BT247" s="45"/>
      <c r="BU247" s="45"/>
      <c r="BV247" s="45"/>
      <c r="BW247" s="45"/>
      <c r="BX247" s="45"/>
      <c r="BY247" s="45"/>
      <c r="BZ247" s="45"/>
      <c r="CA247" s="45"/>
      <c r="CB247" s="45"/>
      <c r="CC247" s="45"/>
      <c r="CD247" s="45"/>
      <c r="CE247" s="45"/>
      <c r="CF247" s="45"/>
      <c r="CG247" s="45"/>
      <c r="CH247" s="45"/>
      <c r="CI247" s="45"/>
      <c r="CJ247" s="45"/>
      <c r="CK247" s="45"/>
      <c r="CL247" s="45"/>
      <c r="CM247" s="45"/>
      <c r="CN247" s="45"/>
      <c r="CO247" s="45"/>
      <c r="CP247" s="45"/>
      <c r="CQ247" s="45"/>
      <c r="CR247" s="45"/>
      <c r="CS247" s="45"/>
      <c r="CT247" s="45"/>
      <c r="CU247" s="45"/>
      <c r="CV247" s="45"/>
      <c r="CW247" s="45"/>
      <c r="CX247" s="45"/>
      <c r="CY247" s="45"/>
      <c r="CZ247" s="45"/>
      <c r="DA247" s="45"/>
      <c r="DB247" s="45"/>
      <c r="DC247" s="45"/>
      <c r="DD247" s="45"/>
      <c r="DE247" s="45"/>
      <c r="DF247" s="45"/>
      <c r="DG247" s="45"/>
      <c r="DH247" s="45"/>
      <c r="DI247" s="45"/>
      <c r="DJ247" s="45"/>
    </row>
    <row r="248" spans="1:114" s="46" customFormat="1" ht="23.25" customHeight="1">
      <c r="A248" s="153" t="s">
        <v>15</v>
      </c>
      <c r="B248" s="22">
        <v>0</v>
      </c>
      <c r="C248" s="2"/>
      <c r="D248" s="23">
        <f>SUM(D245:D247)</f>
        <v>0</v>
      </c>
      <c r="E248" s="22"/>
      <c r="F248" s="9">
        <v>0</v>
      </c>
      <c r="G248" s="41"/>
      <c r="H248" s="50">
        <f>SUM(H247)</f>
        <v>0</v>
      </c>
      <c r="I248" s="8"/>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c r="BN248" s="45"/>
      <c r="BO248" s="45"/>
      <c r="BP248" s="45"/>
      <c r="BQ248" s="45"/>
      <c r="BR248" s="45"/>
      <c r="BS248" s="45"/>
      <c r="BT248" s="45"/>
      <c r="BU248" s="45"/>
      <c r="BV248" s="45"/>
      <c r="BW248" s="45"/>
      <c r="BX248" s="45"/>
      <c r="BY248" s="45"/>
      <c r="BZ248" s="45"/>
      <c r="CA248" s="45"/>
      <c r="CB248" s="45"/>
      <c r="CC248" s="45"/>
      <c r="CD248" s="45"/>
      <c r="CE248" s="45"/>
      <c r="CF248" s="45"/>
      <c r="CG248" s="45"/>
      <c r="CH248" s="45"/>
      <c r="CI248" s="45"/>
      <c r="CJ248" s="45"/>
      <c r="CK248" s="45"/>
      <c r="CL248" s="45"/>
      <c r="CM248" s="45"/>
      <c r="CN248" s="45"/>
      <c r="CO248" s="45"/>
      <c r="CP248" s="45"/>
      <c r="CQ248" s="45"/>
      <c r="CR248" s="45"/>
      <c r="CS248" s="45"/>
      <c r="CT248" s="45"/>
      <c r="CU248" s="45"/>
      <c r="CV248" s="45"/>
      <c r="CW248" s="45"/>
      <c r="CX248" s="45"/>
      <c r="CY248" s="45"/>
      <c r="CZ248" s="45"/>
      <c r="DA248" s="45"/>
      <c r="DB248" s="45"/>
      <c r="DC248" s="45"/>
      <c r="DD248" s="45"/>
      <c r="DE248" s="45"/>
      <c r="DF248" s="45"/>
      <c r="DG248" s="45"/>
      <c r="DH248" s="45"/>
      <c r="DI248" s="45"/>
      <c r="DJ248" s="45"/>
    </row>
    <row r="249" spans="1:114" s="46" customFormat="1" ht="118.5" customHeight="1">
      <c r="A249" s="254" t="s">
        <v>47</v>
      </c>
      <c r="B249" s="261">
        <v>806</v>
      </c>
      <c r="C249" s="152" t="s">
        <v>260</v>
      </c>
      <c r="D249" s="82">
        <f>61053.85+25456</f>
        <v>86509.85</v>
      </c>
      <c r="E249" s="105" t="s">
        <v>87</v>
      </c>
      <c r="F249" s="6"/>
      <c r="G249" s="41"/>
      <c r="H249" s="57"/>
      <c r="I249" s="14"/>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c r="CA249" s="45"/>
      <c r="CB249" s="45"/>
      <c r="CC249" s="45"/>
      <c r="CD249" s="45"/>
      <c r="CE249" s="45"/>
      <c r="CF249" s="45"/>
      <c r="CG249" s="45"/>
      <c r="CH249" s="45"/>
      <c r="CI249" s="45"/>
      <c r="CJ249" s="45"/>
      <c r="CK249" s="45"/>
      <c r="CL249" s="45"/>
      <c r="CM249" s="45"/>
      <c r="CN249" s="45"/>
      <c r="CO249" s="45"/>
      <c r="CP249" s="45"/>
      <c r="CQ249" s="45"/>
      <c r="CR249" s="45"/>
      <c r="CS249" s="45"/>
      <c r="CT249" s="45"/>
      <c r="CU249" s="45"/>
      <c r="CV249" s="45"/>
      <c r="CW249" s="45"/>
      <c r="CX249" s="45"/>
      <c r="CY249" s="45"/>
      <c r="CZ249" s="45"/>
      <c r="DA249" s="45"/>
      <c r="DB249" s="45"/>
      <c r="DC249" s="45"/>
      <c r="DD249" s="45"/>
      <c r="DE249" s="45"/>
      <c r="DF249" s="45"/>
      <c r="DG249" s="45"/>
      <c r="DH249" s="45"/>
      <c r="DI249" s="45"/>
      <c r="DJ249" s="45"/>
    </row>
    <row r="250" spans="1:114" s="46" customFormat="1" ht="31.5" customHeight="1">
      <c r="A250" s="260"/>
      <c r="B250" s="262"/>
      <c r="C250" s="152" t="s">
        <v>134</v>
      </c>
      <c r="D250" s="82">
        <v>4320</v>
      </c>
      <c r="E250" s="122" t="s">
        <v>117</v>
      </c>
      <c r="F250" s="6"/>
      <c r="G250" s="41"/>
      <c r="H250" s="57"/>
      <c r="I250" s="14"/>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c r="BR250" s="45"/>
      <c r="BS250" s="45"/>
      <c r="BT250" s="45"/>
      <c r="BU250" s="45"/>
      <c r="BV250" s="45"/>
      <c r="BW250" s="45"/>
      <c r="BX250" s="45"/>
      <c r="BY250" s="45"/>
      <c r="BZ250" s="45"/>
      <c r="CA250" s="45"/>
      <c r="CB250" s="45"/>
      <c r="CC250" s="45"/>
      <c r="CD250" s="45"/>
      <c r="CE250" s="45"/>
      <c r="CF250" s="45"/>
      <c r="CG250" s="45"/>
      <c r="CH250" s="45"/>
      <c r="CI250" s="45"/>
      <c r="CJ250" s="45"/>
      <c r="CK250" s="45"/>
      <c r="CL250" s="45"/>
      <c r="CM250" s="45"/>
      <c r="CN250" s="45"/>
      <c r="CO250" s="45"/>
      <c r="CP250" s="45"/>
      <c r="CQ250" s="45"/>
      <c r="CR250" s="45"/>
      <c r="CS250" s="45"/>
      <c r="CT250" s="45"/>
      <c r="CU250" s="45"/>
      <c r="CV250" s="45"/>
      <c r="CW250" s="45"/>
      <c r="CX250" s="45"/>
      <c r="CY250" s="45"/>
      <c r="CZ250" s="45"/>
      <c r="DA250" s="45"/>
      <c r="DB250" s="45"/>
      <c r="DC250" s="45"/>
      <c r="DD250" s="45"/>
      <c r="DE250" s="45"/>
      <c r="DF250" s="45"/>
      <c r="DG250" s="45"/>
      <c r="DH250" s="45"/>
      <c r="DI250" s="45"/>
      <c r="DJ250" s="45"/>
    </row>
    <row r="251" spans="1:114" s="46" customFormat="1" ht="21" customHeight="1">
      <c r="A251" s="255"/>
      <c r="B251" s="265"/>
      <c r="C251" s="156" t="s">
        <v>196</v>
      </c>
      <c r="D251" s="82"/>
      <c r="E251" s="16"/>
      <c r="F251" s="6"/>
      <c r="G251" s="41"/>
      <c r="H251" s="57"/>
      <c r="I251" s="14"/>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c r="BN251" s="45"/>
      <c r="BO251" s="45"/>
      <c r="BP251" s="45"/>
      <c r="BQ251" s="45"/>
      <c r="BR251" s="45"/>
      <c r="BS251" s="45"/>
      <c r="BT251" s="45"/>
      <c r="BU251" s="45"/>
      <c r="BV251" s="45"/>
      <c r="BW251" s="45"/>
      <c r="BX251" s="45"/>
      <c r="BY251" s="45"/>
      <c r="BZ251" s="45"/>
      <c r="CA251" s="45"/>
      <c r="CB251" s="45"/>
      <c r="CC251" s="45"/>
      <c r="CD251" s="45"/>
      <c r="CE251" s="45"/>
      <c r="CF251" s="45"/>
      <c r="CG251" s="45"/>
      <c r="CH251" s="45"/>
      <c r="CI251" s="45"/>
      <c r="CJ251" s="45"/>
      <c r="CK251" s="45"/>
      <c r="CL251" s="45"/>
      <c r="CM251" s="45"/>
      <c r="CN251" s="45"/>
      <c r="CO251" s="45"/>
      <c r="CP251" s="45"/>
      <c r="CQ251" s="45"/>
      <c r="CR251" s="45"/>
      <c r="CS251" s="45"/>
      <c r="CT251" s="45"/>
      <c r="CU251" s="45"/>
      <c r="CV251" s="45"/>
      <c r="CW251" s="45"/>
      <c r="CX251" s="45"/>
      <c r="CY251" s="45"/>
      <c r="CZ251" s="45"/>
      <c r="DA251" s="45"/>
      <c r="DB251" s="45"/>
      <c r="DC251" s="45"/>
      <c r="DD251" s="45"/>
      <c r="DE251" s="45"/>
      <c r="DF251" s="45"/>
      <c r="DG251" s="45"/>
      <c r="DH251" s="45"/>
      <c r="DI251" s="45"/>
      <c r="DJ251" s="45"/>
    </row>
    <row r="252" spans="1:114" s="46" customFormat="1" ht="24.75" customHeight="1">
      <c r="A252" s="153" t="s">
        <v>15</v>
      </c>
      <c r="B252" s="22">
        <f>B249</f>
        <v>806</v>
      </c>
      <c r="C252" s="2"/>
      <c r="D252" s="23">
        <f>SUM(D249:D251)</f>
        <v>90829.85</v>
      </c>
      <c r="E252" s="22"/>
      <c r="F252" s="9"/>
      <c r="G252" s="41"/>
      <c r="H252" s="8">
        <f>H249</f>
        <v>0</v>
      </c>
      <c r="I252" s="8"/>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c r="BK252" s="45"/>
      <c r="BL252" s="45"/>
      <c r="BM252" s="45"/>
      <c r="BN252" s="45"/>
      <c r="BO252" s="45"/>
      <c r="BP252" s="45"/>
      <c r="BQ252" s="45"/>
      <c r="BR252" s="45"/>
      <c r="BS252" s="45"/>
      <c r="BT252" s="45"/>
      <c r="BU252" s="45"/>
      <c r="BV252" s="45"/>
      <c r="BW252" s="45"/>
      <c r="BX252" s="45"/>
      <c r="BY252" s="45"/>
      <c r="BZ252" s="45"/>
      <c r="CA252" s="45"/>
      <c r="CB252" s="45"/>
      <c r="CC252" s="45"/>
      <c r="CD252" s="45"/>
      <c r="CE252" s="45"/>
      <c r="CF252" s="45"/>
      <c r="CG252" s="45"/>
      <c r="CH252" s="45"/>
      <c r="CI252" s="45"/>
      <c r="CJ252" s="45"/>
      <c r="CK252" s="45"/>
      <c r="CL252" s="45"/>
      <c r="CM252" s="45"/>
      <c r="CN252" s="45"/>
      <c r="CO252" s="45"/>
      <c r="CP252" s="45"/>
      <c r="CQ252" s="45"/>
      <c r="CR252" s="45"/>
      <c r="CS252" s="45"/>
      <c r="CT252" s="45"/>
      <c r="CU252" s="45"/>
      <c r="CV252" s="45"/>
      <c r="CW252" s="45"/>
      <c r="CX252" s="45"/>
      <c r="CY252" s="45"/>
      <c r="CZ252" s="45"/>
      <c r="DA252" s="45"/>
      <c r="DB252" s="45"/>
      <c r="DC252" s="45"/>
      <c r="DD252" s="45"/>
      <c r="DE252" s="45"/>
      <c r="DF252" s="45"/>
      <c r="DG252" s="45"/>
      <c r="DH252" s="45"/>
      <c r="DI252" s="45"/>
      <c r="DJ252" s="45"/>
    </row>
    <row r="253" spans="1:114" s="46" customFormat="1" ht="24.75" customHeight="1">
      <c r="A253" s="254" t="s">
        <v>36</v>
      </c>
      <c r="B253" s="256"/>
      <c r="C253" s="21" t="s">
        <v>208</v>
      </c>
      <c r="D253" s="60">
        <v>24.3</v>
      </c>
      <c r="E253" s="105" t="s">
        <v>87</v>
      </c>
      <c r="F253" s="9"/>
      <c r="G253" s="41"/>
      <c r="H253" s="8"/>
      <c r="I253" s="8"/>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c r="BN253" s="45"/>
      <c r="BO253" s="45"/>
      <c r="BP253" s="45"/>
      <c r="BQ253" s="45"/>
      <c r="BR253" s="45"/>
      <c r="BS253" s="45"/>
      <c r="BT253" s="45"/>
      <c r="BU253" s="45"/>
      <c r="BV253" s="45"/>
      <c r="BW253" s="45"/>
      <c r="BX253" s="45"/>
      <c r="BY253" s="45"/>
      <c r="BZ253" s="45"/>
      <c r="CA253" s="45"/>
      <c r="CB253" s="45"/>
      <c r="CC253" s="45"/>
      <c r="CD253" s="45"/>
      <c r="CE253" s="45"/>
      <c r="CF253" s="45"/>
      <c r="CG253" s="45"/>
      <c r="CH253" s="45"/>
      <c r="CI253" s="45"/>
      <c r="CJ253" s="45"/>
      <c r="CK253" s="45"/>
      <c r="CL253" s="45"/>
      <c r="CM253" s="45"/>
      <c r="CN253" s="45"/>
      <c r="CO253" s="45"/>
      <c r="CP253" s="45"/>
      <c r="CQ253" s="45"/>
      <c r="CR253" s="45"/>
      <c r="CS253" s="45"/>
      <c r="CT253" s="45"/>
      <c r="CU253" s="45"/>
      <c r="CV253" s="45"/>
      <c r="CW253" s="45"/>
      <c r="CX253" s="45"/>
      <c r="CY253" s="45"/>
      <c r="CZ253" s="45"/>
      <c r="DA253" s="45"/>
      <c r="DB253" s="45"/>
      <c r="DC253" s="45"/>
      <c r="DD253" s="45"/>
      <c r="DE253" s="45"/>
      <c r="DF253" s="45"/>
      <c r="DG253" s="45"/>
      <c r="DH253" s="45"/>
      <c r="DI253" s="45"/>
      <c r="DJ253" s="45"/>
    </row>
    <row r="254" spans="1:114" s="46" customFormat="1" ht="15.75" customHeight="1">
      <c r="A254" s="255"/>
      <c r="B254" s="257"/>
      <c r="C254" s="152"/>
      <c r="D254" s="82"/>
      <c r="E254" s="16"/>
      <c r="F254" s="6"/>
      <c r="G254" s="41"/>
      <c r="H254" s="57"/>
      <c r="I254" s="14"/>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c r="BK254" s="45"/>
      <c r="BL254" s="45"/>
      <c r="BM254" s="45"/>
      <c r="BN254" s="45"/>
      <c r="BO254" s="45"/>
      <c r="BP254" s="45"/>
      <c r="BQ254" s="45"/>
      <c r="BR254" s="45"/>
      <c r="BS254" s="45"/>
      <c r="BT254" s="45"/>
      <c r="BU254" s="45"/>
      <c r="BV254" s="45"/>
      <c r="BW254" s="45"/>
      <c r="BX254" s="45"/>
      <c r="BY254" s="45"/>
      <c r="BZ254" s="45"/>
      <c r="CA254" s="45"/>
      <c r="CB254" s="45"/>
      <c r="CC254" s="45"/>
      <c r="CD254" s="45"/>
      <c r="CE254" s="45"/>
      <c r="CF254" s="45"/>
      <c r="CG254" s="45"/>
      <c r="CH254" s="45"/>
      <c r="CI254" s="45"/>
      <c r="CJ254" s="45"/>
      <c r="CK254" s="45"/>
      <c r="CL254" s="45"/>
      <c r="CM254" s="45"/>
      <c r="CN254" s="45"/>
      <c r="CO254" s="45"/>
      <c r="CP254" s="45"/>
      <c r="CQ254" s="45"/>
      <c r="CR254" s="45"/>
      <c r="CS254" s="45"/>
      <c r="CT254" s="45"/>
      <c r="CU254" s="45"/>
      <c r="CV254" s="45"/>
      <c r="CW254" s="45"/>
      <c r="CX254" s="45"/>
      <c r="CY254" s="45"/>
      <c r="CZ254" s="45"/>
      <c r="DA254" s="45"/>
      <c r="DB254" s="45"/>
      <c r="DC254" s="45"/>
      <c r="DD254" s="45"/>
      <c r="DE254" s="45"/>
      <c r="DF254" s="45"/>
      <c r="DG254" s="45"/>
      <c r="DH254" s="45"/>
      <c r="DI254" s="45"/>
      <c r="DJ254" s="45"/>
    </row>
    <row r="255" spans="1:114" s="46" customFormat="1" ht="20.25" customHeight="1">
      <c r="A255" s="153" t="s">
        <v>15</v>
      </c>
      <c r="B255" s="22">
        <f>B254</f>
        <v>0</v>
      </c>
      <c r="C255" s="2"/>
      <c r="D255" s="23">
        <f>SUM(D253:D254)</f>
        <v>24.3</v>
      </c>
      <c r="E255" s="22"/>
      <c r="F255" s="9"/>
      <c r="G255" s="41"/>
      <c r="H255" s="8">
        <f>H254</f>
        <v>0</v>
      </c>
      <c r="I255" s="8"/>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45"/>
      <c r="BG255" s="45"/>
      <c r="BH255" s="45"/>
      <c r="BI255" s="45"/>
      <c r="BJ255" s="45"/>
      <c r="BK255" s="45"/>
      <c r="BL255" s="45"/>
      <c r="BM255" s="45"/>
      <c r="BN255" s="45"/>
      <c r="BO255" s="45"/>
      <c r="BP255" s="45"/>
      <c r="BQ255" s="45"/>
      <c r="BR255" s="45"/>
      <c r="BS255" s="45"/>
      <c r="BT255" s="45"/>
      <c r="BU255" s="45"/>
      <c r="BV255" s="45"/>
      <c r="BW255" s="45"/>
      <c r="BX255" s="45"/>
      <c r="BY255" s="45"/>
      <c r="BZ255" s="45"/>
      <c r="CA255" s="45"/>
      <c r="CB255" s="45"/>
      <c r="CC255" s="45"/>
      <c r="CD255" s="45"/>
      <c r="CE255" s="45"/>
      <c r="CF255" s="45"/>
      <c r="CG255" s="45"/>
      <c r="CH255" s="45"/>
      <c r="CI255" s="45"/>
      <c r="CJ255" s="45"/>
      <c r="CK255" s="45"/>
      <c r="CL255" s="45"/>
      <c r="CM255" s="45"/>
      <c r="CN255" s="45"/>
      <c r="CO255" s="45"/>
      <c r="CP255" s="45"/>
      <c r="CQ255" s="45"/>
      <c r="CR255" s="45"/>
      <c r="CS255" s="45"/>
      <c r="CT255" s="45"/>
      <c r="CU255" s="45"/>
      <c r="CV255" s="45"/>
      <c r="CW255" s="45"/>
      <c r="CX255" s="45"/>
      <c r="CY255" s="45"/>
      <c r="CZ255" s="45"/>
      <c r="DA255" s="45"/>
      <c r="DB255" s="45"/>
      <c r="DC255" s="45"/>
      <c r="DD255" s="45"/>
      <c r="DE255" s="45"/>
      <c r="DF255" s="45"/>
      <c r="DG255" s="45"/>
      <c r="DH255" s="45"/>
      <c r="DI255" s="45"/>
      <c r="DJ255" s="45"/>
    </row>
    <row r="256" spans="1:114" s="46" customFormat="1" ht="108.75" customHeight="1">
      <c r="A256" s="254" t="s">
        <v>43</v>
      </c>
      <c r="B256" s="256"/>
      <c r="C256" s="156" t="s">
        <v>315</v>
      </c>
      <c r="D256" s="59">
        <f>56007.19+4988.91+11537.32</f>
        <v>72533.42000000001</v>
      </c>
      <c r="E256" s="105" t="s">
        <v>87</v>
      </c>
      <c r="F256" s="9"/>
      <c r="G256" s="41"/>
      <c r="H256" s="8"/>
      <c r="I256" s="8"/>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c r="BC256" s="45"/>
      <c r="BD256" s="45"/>
      <c r="BE256" s="45"/>
      <c r="BF256" s="45"/>
      <c r="BG256" s="45"/>
      <c r="BH256" s="45"/>
      <c r="BI256" s="45"/>
      <c r="BJ256" s="45"/>
      <c r="BK256" s="45"/>
      <c r="BL256" s="45"/>
      <c r="BM256" s="45"/>
      <c r="BN256" s="45"/>
      <c r="BO256" s="45"/>
      <c r="BP256" s="45"/>
      <c r="BQ256" s="45"/>
      <c r="BR256" s="45"/>
      <c r="BS256" s="45"/>
      <c r="BT256" s="45"/>
      <c r="BU256" s="45"/>
      <c r="BV256" s="45"/>
      <c r="BW256" s="45"/>
      <c r="BX256" s="45"/>
      <c r="BY256" s="45"/>
      <c r="BZ256" s="45"/>
      <c r="CA256" s="45"/>
      <c r="CB256" s="45"/>
      <c r="CC256" s="45"/>
      <c r="CD256" s="45"/>
      <c r="CE256" s="45"/>
      <c r="CF256" s="45"/>
      <c r="CG256" s="45"/>
      <c r="CH256" s="45"/>
      <c r="CI256" s="45"/>
      <c r="CJ256" s="45"/>
      <c r="CK256" s="45"/>
      <c r="CL256" s="45"/>
      <c r="CM256" s="45"/>
      <c r="CN256" s="45"/>
      <c r="CO256" s="45"/>
      <c r="CP256" s="45"/>
      <c r="CQ256" s="45"/>
      <c r="CR256" s="45"/>
      <c r="CS256" s="45"/>
      <c r="CT256" s="45"/>
      <c r="CU256" s="45"/>
      <c r="CV256" s="45"/>
      <c r="CW256" s="45"/>
      <c r="CX256" s="45"/>
      <c r="CY256" s="45"/>
      <c r="CZ256" s="45"/>
      <c r="DA256" s="45"/>
      <c r="DB256" s="45"/>
      <c r="DC256" s="45"/>
      <c r="DD256" s="45"/>
      <c r="DE256" s="45"/>
      <c r="DF256" s="45"/>
      <c r="DG256" s="45"/>
      <c r="DH256" s="45"/>
      <c r="DI256" s="45"/>
      <c r="DJ256" s="45"/>
    </row>
    <row r="257" spans="1:114" s="46" customFormat="1" ht="23.25" customHeight="1">
      <c r="A257" s="255"/>
      <c r="B257" s="257"/>
      <c r="C257" s="152"/>
      <c r="D257" s="83"/>
      <c r="E257" s="16"/>
      <c r="F257" s="6"/>
      <c r="G257" s="41"/>
      <c r="H257" s="57"/>
      <c r="I257" s="14"/>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c r="BC257" s="45"/>
      <c r="BD257" s="45"/>
      <c r="BE257" s="45"/>
      <c r="BF257" s="45"/>
      <c r="BG257" s="45"/>
      <c r="BH257" s="45"/>
      <c r="BI257" s="45"/>
      <c r="BJ257" s="45"/>
      <c r="BK257" s="45"/>
      <c r="BL257" s="45"/>
      <c r="BM257" s="45"/>
      <c r="BN257" s="45"/>
      <c r="BO257" s="45"/>
      <c r="BP257" s="45"/>
      <c r="BQ257" s="45"/>
      <c r="BR257" s="45"/>
      <c r="BS257" s="45"/>
      <c r="BT257" s="45"/>
      <c r="BU257" s="45"/>
      <c r="BV257" s="45"/>
      <c r="BW257" s="45"/>
      <c r="BX257" s="45"/>
      <c r="BY257" s="45"/>
      <c r="BZ257" s="45"/>
      <c r="CA257" s="45"/>
      <c r="CB257" s="45"/>
      <c r="CC257" s="45"/>
      <c r="CD257" s="45"/>
      <c r="CE257" s="45"/>
      <c r="CF257" s="45"/>
      <c r="CG257" s="45"/>
      <c r="CH257" s="45"/>
      <c r="CI257" s="45"/>
      <c r="CJ257" s="45"/>
      <c r="CK257" s="45"/>
      <c r="CL257" s="45"/>
      <c r="CM257" s="45"/>
      <c r="CN257" s="45"/>
      <c r="CO257" s="45"/>
      <c r="CP257" s="45"/>
      <c r="CQ257" s="45"/>
      <c r="CR257" s="45"/>
      <c r="CS257" s="45"/>
      <c r="CT257" s="45"/>
      <c r="CU257" s="45"/>
      <c r="CV257" s="45"/>
      <c r="CW257" s="45"/>
      <c r="CX257" s="45"/>
      <c r="CY257" s="45"/>
      <c r="CZ257" s="45"/>
      <c r="DA257" s="45"/>
      <c r="DB257" s="45"/>
      <c r="DC257" s="45"/>
      <c r="DD257" s="45"/>
      <c r="DE257" s="45"/>
      <c r="DF257" s="45"/>
      <c r="DG257" s="45"/>
      <c r="DH257" s="45"/>
      <c r="DI257" s="45"/>
      <c r="DJ257" s="45"/>
    </row>
    <row r="258" spans="1:114" s="46" customFormat="1" ht="23.25" customHeight="1">
      <c r="A258" s="153" t="s">
        <v>15</v>
      </c>
      <c r="B258" s="22">
        <f>B257</f>
        <v>0</v>
      </c>
      <c r="C258" s="2"/>
      <c r="D258" s="23">
        <f>SUM(D256:D257)</f>
        <v>72533.42000000001</v>
      </c>
      <c r="E258" s="22"/>
      <c r="F258" s="9"/>
      <c r="G258" s="41"/>
      <c r="H258" s="8">
        <f>H257</f>
        <v>0</v>
      </c>
      <c r="I258" s="8"/>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c r="BK258" s="45"/>
      <c r="BL258" s="45"/>
      <c r="BM258" s="45"/>
      <c r="BN258" s="45"/>
      <c r="BO258" s="45"/>
      <c r="BP258" s="45"/>
      <c r="BQ258" s="45"/>
      <c r="BR258" s="45"/>
      <c r="BS258" s="45"/>
      <c r="BT258" s="45"/>
      <c r="BU258" s="45"/>
      <c r="BV258" s="45"/>
      <c r="BW258" s="45"/>
      <c r="BX258" s="45"/>
      <c r="BY258" s="45"/>
      <c r="BZ258" s="45"/>
      <c r="CA258" s="45"/>
      <c r="CB258" s="45"/>
      <c r="CC258" s="45"/>
      <c r="CD258" s="45"/>
      <c r="CE258" s="45"/>
      <c r="CF258" s="45"/>
      <c r="CG258" s="45"/>
      <c r="CH258" s="45"/>
      <c r="CI258" s="45"/>
      <c r="CJ258" s="45"/>
      <c r="CK258" s="45"/>
      <c r="CL258" s="45"/>
      <c r="CM258" s="45"/>
      <c r="CN258" s="45"/>
      <c r="CO258" s="45"/>
      <c r="CP258" s="45"/>
      <c r="CQ258" s="45"/>
      <c r="CR258" s="45"/>
      <c r="CS258" s="45"/>
      <c r="CT258" s="45"/>
      <c r="CU258" s="45"/>
      <c r="CV258" s="45"/>
      <c r="CW258" s="45"/>
      <c r="CX258" s="45"/>
      <c r="CY258" s="45"/>
      <c r="CZ258" s="45"/>
      <c r="DA258" s="45"/>
      <c r="DB258" s="45"/>
      <c r="DC258" s="45"/>
      <c r="DD258" s="45"/>
      <c r="DE258" s="45"/>
      <c r="DF258" s="45"/>
      <c r="DG258" s="45"/>
      <c r="DH258" s="45"/>
      <c r="DI258" s="45"/>
      <c r="DJ258" s="45"/>
    </row>
    <row r="259" spans="1:114" s="46" customFormat="1" ht="132.75" customHeight="1">
      <c r="A259" s="258" t="s">
        <v>52</v>
      </c>
      <c r="B259" s="256"/>
      <c r="C259" s="128" t="s">
        <v>316</v>
      </c>
      <c r="D259" s="60">
        <f>61053.85+35982.5+5745.96+7929.9+9745.59</f>
        <v>120457.8</v>
      </c>
      <c r="E259" s="105" t="s">
        <v>87</v>
      </c>
      <c r="F259" s="9"/>
      <c r="G259" s="41"/>
      <c r="H259" s="8"/>
      <c r="I259" s="8"/>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c r="BE259" s="45"/>
      <c r="BF259" s="45"/>
      <c r="BG259" s="45"/>
      <c r="BH259" s="45"/>
      <c r="BI259" s="45"/>
      <c r="BJ259" s="45"/>
      <c r="BK259" s="45"/>
      <c r="BL259" s="45"/>
      <c r="BM259" s="45"/>
      <c r="BN259" s="45"/>
      <c r="BO259" s="45"/>
      <c r="BP259" s="45"/>
      <c r="BQ259" s="45"/>
      <c r="BR259" s="45"/>
      <c r="BS259" s="45"/>
      <c r="BT259" s="45"/>
      <c r="BU259" s="45"/>
      <c r="BV259" s="45"/>
      <c r="BW259" s="45"/>
      <c r="BX259" s="45"/>
      <c r="BY259" s="45"/>
      <c r="BZ259" s="45"/>
      <c r="CA259" s="45"/>
      <c r="CB259" s="45"/>
      <c r="CC259" s="45"/>
      <c r="CD259" s="45"/>
      <c r="CE259" s="45"/>
      <c r="CF259" s="45"/>
      <c r="CG259" s="45"/>
      <c r="CH259" s="45"/>
      <c r="CI259" s="45"/>
      <c r="CJ259" s="45"/>
      <c r="CK259" s="45"/>
      <c r="CL259" s="45"/>
      <c r="CM259" s="45"/>
      <c r="CN259" s="45"/>
      <c r="CO259" s="45"/>
      <c r="CP259" s="45"/>
      <c r="CQ259" s="45"/>
      <c r="CR259" s="45"/>
      <c r="CS259" s="45"/>
      <c r="CT259" s="45"/>
      <c r="CU259" s="45"/>
      <c r="CV259" s="45"/>
      <c r="CW259" s="45"/>
      <c r="CX259" s="45"/>
      <c r="CY259" s="45"/>
      <c r="CZ259" s="45"/>
      <c r="DA259" s="45"/>
      <c r="DB259" s="45"/>
      <c r="DC259" s="45"/>
      <c r="DD259" s="45"/>
      <c r="DE259" s="45"/>
      <c r="DF259" s="45"/>
      <c r="DG259" s="45"/>
      <c r="DH259" s="45"/>
      <c r="DI259" s="45"/>
      <c r="DJ259" s="45"/>
    </row>
    <row r="260" spans="1:114" s="46" customFormat="1" ht="28.5" customHeight="1">
      <c r="A260" s="259"/>
      <c r="B260" s="257"/>
      <c r="C260" s="21" t="s">
        <v>135</v>
      </c>
      <c r="D260" s="82">
        <v>4320</v>
      </c>
      <c r="E260" s="16" t="s">
        <v>117</v>
      </c>
      <c r="F260" s="9"/>
      <c r="G260" s="41"/>
      <c r="H260" s="57"/>
      <c r="I260" s="14"/>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c r="BM260" s="45"/>
      <c r="BN260" s="45"/>
      <c r="BO260" s="45"/>
      <c r="BP260" s="45"/>
      <c r="BQ260" s="45"/>
      <c r="BR260" s="45"/>
      <c r="BS260" s="45"/>
      <c r="BT260" s="45"/>
      <c r="BU260" s="45"/>
      <c r="BV260" s="45"/>
      <c r="BW260" s="45"/>
      <c r="BX260" s="45"/>
      <c r="BY260" s="45"/>
      <c r="BZ260" s="45"/>
      <c r="CA260" s="45"/>
      <c r="CB260" s="45"/>
      <c r="CC260" s="45"/>
      <c r="CD260" s="45"/>
      <c r="CE260" s="45"/>
      <c r="CF260" s="45"/>
      <c r="CG260" s="45"/>
      <c r="CH260" s="45"/>
      <c r="CI260" s="45"/>
      <c r="CJ260" s="45"/>
      <c r="CK260" s="45"/>
      <c r="CL260" s="45"/>
      <c r="CM260" s="45"/>
      <c r="CN260" s="45"/>
      <c r="CO260" s="45"/>
      <c r="CP260" s="45"/>
      <c r="CQ260" s="45"/>
      <c r="CR260" s="45"/>
      <c r="CS260" s="45"/>
      <c r="CT260" s="45"/>
      <c r="CU260" s="45"/>
      <c r="CV260" s="45"/>
      <c r="CW260" s="45"/>
      <c r="CX260" s="45"/>
      <c r="CY260" s="45"/>
      <c r="CZ260" s="45"/>
      <c r="DA260" s="45"/>
      <c r="DB260" s="45"/>
      <c r="DC260" s="45"/>
      <c r="DD260" s="45"/>
      <c r="DE260" s="45"/>
      <c r="DF260" s="45"/>
      <c r="DG260" s="45"/>
      <c r="DH260" s="45"/>
      <c r="DI260" s="45"/>
      <c r="DJ260" s="45"/>
    </row>
    <row r="261" spans="1:114" s="46" customFormat="1" ht="29.25" customHeight="1">
      <c r="A261" s="153" t="s">
        <v>15</v>
      </c>
      <c r="B261" s="22">
        <f>B260</f>
        <v>0</v>
      </c>
      <c r="C261" s="2"/>
      <c r="D261" s="23">
        <f>SUM(D259:D260)</f>
        <v>124777.8</v>
      </c>
      <c r="E261" s="22"/>
      <c r="F261" s="9"/>
      <c r="G261" s="41"/>
      <c r="H261" s="8">
        <f>H260</f>
        <v>0</v>
      </c>
      <c r="I261" s="8"/>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c r="BE261" s="45"/>
      <c r="BF261" s="45"/>
      <c r="BG261" s="45"/>
      <c r="BH261" s="45"/>
      <c r="BI261" s="45"/>
      <c r="BJ261" s="45"/>
      <c r="BK261" s="45"/>
      <c r="BL261" s="45"/>
      <c r="BM261" s="45"/>
      <c r="BN261" s="45"/>
      <c r="BO261" s="45"/>
      <c r="BP261" s="45"/>
      <c r="BQ261" s="45"/>
      <c r="BR261" s="45"/>
      <c r="BS261" s="45"/>
      <c r="BT261" s="45"/>
      <c r="BU261" s="45"/>
      <c r="BV261" s="45"/>
      <c r="BW261" s="45"/>
      <c r="BX261" s="45"/>
      <c r="BY261" s="45"/>
      <c r="BZ261" s="45"/>
      <c r="CA261" s="45"/>
      <c r="CB261" s="45"/>
      <c r="CC261" s="45"/>
      <c r="CD261" s="45"/>
      <c r="CE261" s="45"/>
      <c r="CF261" s="45"/>
      <c r="CG261" s="45"/>
      <c r="CH261" s="45"/>
      <c r="CI261" s="45"/>
      <c r="CJ261" s="45"/>
      <c r="CK261" s="45"/>
      <c r="CL261" s="45"/>
      <c r="CM261" s="45"/>
      <c r="CN261" s="45"/>
      <c r="CO261" s="45"/>
      <c r="CP261" s="45"/>
      <c r="CQ261" s="45"/>
      <c r="CR261" s="45"/>
      <c r="CS261" s="45"/>
      <c r="CT261" s="45"/>
      <c r="CU261" s="45"/>
      <c r="CV261" s="45"/>
      <c r="CW261" s="45"/>
      <c r="CX261" s="45"/>
      <c r="CY261" s="45"/>
      <c r="CZ261" s="45"/>
      <c r="DA261" s="45"/>
      <c r="DB261" s="45"/>
      <c r="DC261" s="45"/>
      <c r="DD261" s="45"/>
      <c r="DE261" s="45"/>
      <c r="DF261" s="45"/>
      <c r="DG261" s="45"/>
      <c r="DH261" s="45"/>
      <c r="DI261" s="45"/>
      <c r="DJ261" s="45"/>
    </row>
    <row r="262" spans="1:114" s="46" customFormat="1" ht="39.75" customHeight="1">
      <c r="A262" s="78" t="s">
        <v>50</v>
      </c>
      <c r="B262" s="59"/>
      <c r="C262" s="21" t="s">
        <v>231</v>
      </c>
      <c r="D262" s="148">
        <v>85864.3</v>
      </c>
      <c r="E262" s="105" t="s">
        <v>87</v>
      </c>
      <c r="F262" s="6"/>
      <c r="G262" s="41"/>
      <c r="H262" s="57"/>
      <c r="I262" s="14"/>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45"/>
      <c r="BG262" s="45"/>
      <c r="BH262" s="45"/>
      <c r="BI262" s="45"/>
      <c r="BJ262" s="45"/>
      <c r="BK262" s="45"/>
      <c r="BL262" s="45"/>
      <c r="BM262" s="45"/>
      <c r="BN262" s="45"/>
      <c r="BO262" s="45"/>
      <c r="BP262" s="45"/>
      <c r="BQ262" s="45"/>
      <c r="BR262" s="45"/>
      <c r="BS262" s="45"/>
      <c r="BT262" s="45"/>
      <c r="BU262" s="45"/>
      <c r="BV262" s="45"/>
      <c r="BW262" s="45"/>
      <c r="BX262" s="45"/>
      <c r="BY262" s="45"/>
      <c r="BZ262" s="45"/>
      <c r="CA262" s="45"/>
      <c r="CB262" s="45"/>
      <c r="CC262" s="45"/>
      <c r="CD262" s="45"/>
      <c r="CE262" s="45"/>
      <c r="CF262" s="45"/>
      <c r="CG262" s="45"/>
      <c r="CH262" s="45"/>
      <c r="CI262" s="45"/>
      <c r="CJ262" s="45"/>
      <c r="CK262" s="45"/>
      <c r="CL262" s="45"/>
      <c r="CM262" s="45"/>
      <c r="CN262" s="45"/>
      <c r="CO262" s="45"/>
      <c r="CP262" s="45"/>
      <c r="CQ262" s="45"/>
      <c r="CR262" s="45"/>
      <c r="CS262" s="45"/>
      <c r="CT262" s="45"/>
      <c r="CU262" s="45"/>
      <c r="CV262" s="45"/>
      <c r="CW262" s="45"/>
      <c r="CX262" s="45"/>
      <c r="CY262" s="45"/>
      <c r="CZ262" s="45"/>
      <c r="DA262" s="45"/>
      <c r="DB262" s="45"/>
      <c r="DC262" s="45"/>
      <c r="DD262" s="45"/>
      <c r="DE262" s="45"/>
      <c r="DF262" s="45"/>
      <c r="DG262" s="45"/>
      <c r="DH262" s="45"/>
      <c r="DI262" s="45"/>
      <c r="DJ262" s="45"/>
    </row>
    <row r="263" spans="1:114" s="46" customFormat="1" ht="24.75" customHeight="1">
      <c r="A263" s="153" t="s">
        <v>15</v>
      </c>
      <c r="B263" s="22">
        <f>SUM(B262)</f>
        <v>0</v>
      </c>
      <c r="C263" s="2"/>
      <c r="D263" s="23">
        <f>D262</f>
        <v>85864.3</v>
      </c>
      <c r="E263" s="22"/>
      <c r="F263" s="9"/>
      <c r="G263" s="41"/>
      <c r="H263" s="8">
        <f>H262</f>
        <v>0</v>
      </c>
      <c r="I263" s="8"/>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5"/>
      <c r="BS263" s="45"/>
      <c r="BT263" s="45"/>
      <c r="BU263" s="45"/>
      <c r="BV263" s="45"/>
      <c r="BW263" s="45"/>
      <c r="BX263" s="45"/>
      <c r="BY263" s="45"/>
      <c r="BZ263" s="45"/>
      <c r="CA263" s="45"/>
      <c r="CB263" s="45"/>
      <c r="CC263" s="45"/>
      <c r="CD263" s="45"/>
      <c r="CE263" s="45"/>
      <c r="CF263" s="45"/>
      <c r="CG263" s="45"/>
      <c r="CH263" s="45"/>
      <c r="CI263" s="45"/>
      <c r="CJ263" s="45"/>
      <c r="CK263" s="45"/>
      <c r="CL263" s="45"/>
      <c r="CM263" s="45"/>
      <c r="CN263" s="45"/>
      <c r="CO263" s="45"/>
      <c r="CP263" s="45"/>
      <c r="CQ263" s="45"/>
      <c r="CR263" s="45"/>
      <c r="CS263" s="45"/>
      <c r="CT263" s="45"/>
      <c r="CU263" s="45"/>
      <c r="CV263" s="45"/>
      <c r="CW263" s="45"/>
      <c r="CX263" s="45"/>
      <c r="CY263" s="45"/>
      <c r="CZ263" s="45"/>
      <c r="DA263" s="45"/>
      <c r="DB263" s="45"/>
      <c r="DC263" s="45"/>
      <c r="DD263" s="45"/>
      <c r="DE263" s="45"/>
      <c r="DF263" s="45"/>
      <c r="DG263" s="45"/>
      <c r="DH263" s="45"/>
      <c r="DI263" s="45"/>
      <c r="DJ263" s="45"/>
    </row>
    <row r="264" spans="1:114" s="46" customFormat="1" ht="31.5">
      <c r="A264" s="254" t="s">
        <v>42</v>
      </c>
      <c r="B264" s="256"/>
      <c r="C264" s="21" t="s">
        <v>262</v>
      </c>
      <c r="D264" s="60">
        <f>56206.04-50998.33</f>
        <v>5207.709999999999</v>
      </c>
      <c r="E264" s="105" t="s">
        <v>87</v>
      </c>
      <c r="F264" s="9"/>
      <c r="G264" s="41"/>
      <c r="H264" s="8"/>
      <c r="I264" s="8"/>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5"/>
      <c r="AY264" s="45"/>
      <c r="AZ264" s="45"/>
      <c r="BA264" s="45"/>
      <c r="BB264" s="45"/>
      <c r="BC264" s="45"/>
      <c r="BD264" s="45"/>
      <c r="BE264" s="45"/>
      <c r="BF264" s="45"/>
      <c r="BG264" s="45"/>
      <c r="BH264" s="45"/>
      <c r="BI264" s="45"/>
      <c r="BJ264" s="45"/>
      <c r="BK264" s="45"/>
      <c r="BL264" s="45"/>
      <c r="BM264" s="45"/>
      <c r="BN264" s="45"/>
      <c r="BO264" s="45"/>
      <c r="BP264" s="45"/>
      <c r="BQ264" s="45"/>
      <c r="BR264" s="45"/>
      <c r="BS264" s="45"/>
      <c r="BT264" s="45"/>
      <c r="BU264" s="45"/>
      <c r="BV264" s="45"/>
      <c r="BW264" s="45"/>
      <c r="BX264" s="45"/>
      <c r="BY264" s="45"/>
      <c r="BZ264" s="45"/>
      <c r="CA264" s="45"/>
      <c r="CB264" s="45"/>
      <c r="CC264" s="45"/>
      <c r="CD264" s="45"/>
      <c r="CE264" s="45"/>
      <c r="CF264" s="45"/>
      <c r="CG264" s="45"/>
      <c r="CH264" s="45"/>
      <c r="CI264" s="45"/>
      <c r="CJ264" s="45"/>
      <c r="CK264" s="45"/>
      <c r="CL264" s="45"/>
      <c r="CM264" s="45"/>
      <c r="CN264" s="45"/>
      <c r="CO264" s="45"/>
      <c r="CP264" s="45"/>
      <c r="CQ264" s="45"/>
      <c r="CR264" s="45"/>
      <c r="CS264" s="45"/>
      <c r="CT264" s="45"/>
      <c r="CU264" s="45"/>
      <c r="CV264" s="45"/>
      <c r="CW264" s="45"/>
      <c r="CX264" s="45"/>
      <c r="CY264" s="45"/>
      <c r="CZ264" s="45"/>
      <c r="DA264" s="45"/>
      <c r="DB264" s="45"/>
      <c r="DC264" s="45"/>
      <c r="DD264" s="45"/>
      <c r="DE264" s="45"/>
      <c r="DF264" s="45"/>
      <c r="DG264" s="45"/>
      <c r="DH264" s="45"/>
      <c r="DI264" s="45"/>
      <c r="DJ264" s="45"/>
    </row>
    <row r="265" spans="1:114" s="46" customFormat="1" ht="27.75" customHeight="1">
      <c r="A265" s="255"/>
      <c r="B265" s="257"/>
      <c r="C265" s="152" t="s">
        <v>122</v>
      </c>
      <c r="D265" s="82">
        <v>980</v>
      </c>
      <c r="E265" s="16" t="s">
        <v>108</v>
      </c>
      <c r="F265" s="6"/>
      <c r="G265" s="41"/>
      <c r="H265" s="57"/>
      <c r="I265" s="14"/>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5"/>
      <c r="AY265" s="45"/>
      <c r="AZ265" s="45"/>
      <c r="BA265" s="45"/>
      <c r="BB265" s="45"/>
      <c r="BC265" s="45"/>
      <c r="BD265" s="45"/>
      <c r="BE265" s="45"/>
      <c r="BF265" s="45"/>
      <c r="BG265" s="45"/>
      <c r="BH265" s="45"/>
      <c r="BI265" s="45"/>
      <c r="BJ265" s="45"/>
      <c r="BK265" s="45"/>
      <c r="BL265" s="45"/>
      <c r="BM265" s="45"/>
      <c r="BN265" s="45"/>
      <c r="BO265" s="45"/>
      <c r="BP265" s="45"/>
      <c r="BQ265" s="45"/>
      <c r="BR265" s="45"/>
      <c r="BS265" s="45"/>
      <c r="BT265" s="45"/>
      <c r="BU265" s="45"/>
      <c r="BV265" s="45"/>
      <c r="BW265" s="45"/>
      <c r="BX265" s="45"/>
      <c r="BY265" s="45"/>
      <c r="BZ265" s="45"/>
      <c r="CA265" s="45"/>
      <c r="CB265" s="45"/>
      <c r="CC265" s="45"/>
      <c r="CD265" s="45"/>
      <c r="CE265" s="45"/>
      <c r="CF265" s="45"/>
      <c r="CG265" s="45"/>
      <c r="CH265" s="45"/>
      <c r="CI265" s="45"/>
      <c r="CJ265" s="45"/>
      <c r="CK265" s="45"/>
      <c r="CL265" s="45"/>
      <c r="CM265" s="45"/>
      <c r="CN265" s="45"/>
      <c r="CO265" s="45"/>
      <c r="CP265" s="45"/>
      <c r="CQ265" s="45"/>
      <c r="CR265" s="45"/>
      <c r="CS265" s="45"/>
      <c r="CT265" s="45"/>
      <c r="CU265" s="45"/>
      <c r="CV265" s="45"/>
      <c r="CW265" s="45"/>
      <c r="CX265" s="45"/>
      <c r="CY265" s="45"/>
      <c r="CZ265" s="45"/>
      <c r="DA265" s="45"/>
      <c r="DB265" s="45"/>
      <c r="DC265" s="45"/>
      <c r="DD265" s="45"/>
      <c r="DE265" s="45"/>
      <c r="DF265" s="45"/>
      <c r="DG265" s="45"/>
      <c r="DH265" s="45"/>
      <c r="DI265" s="45"/>
      <c r="DJ265" s="45"/>
    </row>
    <row r="266" spans="1:114" s="46" customFormat="1" ht="23.25" customHeight="1">
      <c r="A266" s="153" t="s">
        <v>15</v>
      </c>
      <c r="B266" s="22">
        <f>SUM(B264)</f>
        <v>0</v>
      </c>
      <c r="C266" s="2"/>
      <c r="D266" s="23">
        <f>SUM(D264:D265)</f>
        <v>6187.709999999999</v>
      </c>
      <c r="E266" s="22"/>
      <c r="F266" s="9"/>
      <c r="G266" s="41"/>
      <c r="H266" s="8">
        <f>H265</f>
        <v>0</v>
      </c>
      <c r="I266" s="8"/>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c r="BC266" s="45"/>
      <c r="BD266" s="45"/>
      <c r="BE266" s="45"/>
      <c r="BF266" s="45"/>
      <c r="BG266" s="45"/>
      <c r="BH266" s="45"/>
      <c r="BI266" s="45"/>
      <c r="BJ266" s="45"/>
      <c r="BK266" s="45"/>
      <c r="BL266" s="45"/>
      <c r="BM266" s="45"/>
      <c r="BN266" s="45"/>
      <c r="BO266" s="45"/>
      <c r="BP266" s="45"/>
      <c r="BQ266" s="45"/>
      <c r="BR266" s="45"/>
      <c r="BS266" s="45"/>
      <c r="BT266" s="45"/>
      <c r="BU266" s="45"/>
      <c r="BV266" s="45"/>
      <c r="BW266" s="45"/>
      <c r="BX266" s="45"/>
      <c r="BY266" s="45"/>
      <c r="BZ266" s="45"/>
      <c r="CA266" s="45"/>
      <c r="CB266" s="45"/>
      <c r="CC266" s="45"/>
      <c r="CD266" s="45"/>
      <c r="CE266" s="45"/>
      <c r="CF266" s="45"/>
      <c r="CG266" s="45"/>
      <c r="CH266" s="45"/>
      <c r="CI266" s="45"/>
      <c r="CJ266" s="45"/>
      <c r="CK266" s="45"/>
      <c r="CL266" s="45"/>
      <c r="CM266" s="45"/>
      <c r="CN266" s="45"/>
      <c r="CO266" s="45"/>
      <c r="CP266" s="45"/>
      <c r="CQ266" s="45"/>
      <c r="CR266" s="45"/>
      <c r="CS266" s="45"/>
      <c r="CT266" s="45"/>
      <c r="CU266" s="45"/>
      <c r="CV266" s="45"/>
      <c r="CW266" s="45"/>
      <c r="CX266" s="45"/>
      <c r="CY266" s="45"/>
      <c r="CZ266" s="45"/>
      <c r="DA266" s="45"/>
      <c r="DB266" s="45"/>
      <c r="DC266" s="45"/>
      <c r="DD266" s="45"/>
      <c r="DE266" s="45"/>
      <c r="DF266" s="45"/>
      <c r="DG266" s="45"/>
      <c r="DH266" s="45"/>
      <c r="DI266" s="45"/>
      <c r="DJ266" s="45"/>
    </row>
    <row r="267" spans="1:114" s="46" customFormat="1" ht="47.25">
      <c r="A267" s="254" t="s">
        <v>48</v>
      </c>
      <c r="B267" s="261">
        <v>15000</v>
      </c>
      <c r="C267" s="152" t="s">
        <v>233</v>
      </c>
      <c r="D267" s="59">
        <f>51022.63</f>
        <v>51022.63</v>
      </c>
      <c r="E267" s="105" t="s">
        <v>87</v>
      </c>
      <c r="F267" s="6"/>
      <c r="G267" s="41"/>
      <c r="H267" s="57"/>
      <c r="I267" s="14"/>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c r="BE267" s="45"/>
      <c r="BF267" s="45"/>
      <c r="BG267" s="45"/>
      <c r="BH267" s="45"/>
      <c r="BI267" s="45"/>
      <c r="BJ267" s="45"/>
      <c r="BK267" s="45"/>
      <c r="BL267" s="45"/>
      <c r="BM267" s="45"/>
      <c r="BN267" s="45"/>
      <c r="BO267" s="45"/>
      <c r="BP267" s="45"/>
      <c r="BQ267" s="45"/>
      <c r="BR267" s="45"/>
      <c r="BS267" s="45"/>
      <c r="BT267" s="45"/>
      <c r="BU267" s="45"/>
      <c r="BV267" s="45"/>
      <c r="BW267" s="45"/>
      <c r="BX267" s="45"/>
      <c r="BY267" s="45"/>
      <c r="BZ267" s="45"/>
      <c r="CA267" s="45"/>
      <c r="CB267" s="45"/>
      <c r="CC267" s="45"/>
      <c r="CD267" s="45"/>
      <c r="CE267" s="45"/>
      <c r="CF267" s="45"/>
      <c r="CG267" s="45"/>
      <c r="CH267" s="45"/>
      <c r="CI267" s="45"/>
      <c r="CJ267" s="45"/>
      <c r="CK267" s="45"/>
      <c r="CL267" s="45"/>
      <c r="CM267" s="45"/>
      <c r="CN267" s="45"/>
      <c r="CO267" s="45"/>
      <c r="CP267" s="45"/>
      <c r="CQ267" s="45"/>
      <c r="CR267" s="45"/>
      <c r="CS267" s="45"/>
      <c r="CT267" s="45"/>
      <c r="CU267" s="45"/>
      <c r="CV267" s="45"/>
      <c r="CW267" s="45"/>
      <c r="CX267" s="45"/>
      <c r="CY267" s="45"/>
      <c r="CZ267" s="45"/>
      <c r="DA267" s="45"/>
      <c r="DB267" s="45"/>
      <c r="DC267" s="45"/>
      <c r="DD267" s="45"/>
      <c r="DE267" s="45"/>
      <c r="DF267" s="45"/>
      <c r="DG267" s="45"/>
      <c r="DH267" s="45"/>
      <c r="DI267" s="45"/>
      <c r="DJ267" s="45"/>
    </row>
    <row r="268" spans="1:114" s="46" customFormat="1" ht="19.5" customHeight="1">
      <c r="A268" s="260"/>
      <c r="B268" s="262"/>
      <c r="C268" s="116" t="s">
        <v>261</v>
      </c>
      <c r="D268" s="59"/>
      <c r="E268" s="74"/>
      <c r="F268" s="6"/>
      <c r="G268" s="41"/>
      <c r="H268" s="8"/>
      <c r="I268" s="8"/>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c r="BC268" s="45"/>
      <c r="BD268" s="45"/>
      <c r="BE268" s="45"/>
      <c r="BF268" s="45"/>
      <c r="BG268" s="45"/>
      <c r="BH268" s="45"/>
      <c r="BI268" s="45"/>
      <c r="BJ268" s="45"/>
      <c r="BK268" s="45"/>
      <c r="BL268" s="45"/>
      <c r="BM268" s="45"/>
      <c r="BN268" s="45"/>
      <c r="BO268" s="45"/>
      <c r="BP268" s="45"/>
      <c r="BQ268" s="45"/>
      <c r="BR268" s="45"/>
      <c r="BS268" s="45"/>
      <c r="BT268" s="45"/>
      <c r="BU268" s="45"/>
      <c r="BV268" s="45"/>
      <c r="BW268" s="45"/>
      <c r="BX268" s="45"/>
      <c r="BY268" s="45"/>
      <c r="BZ268" s="45"/>
      <c r="CA268" s="45"/>
      <c r="CB268" s="45"/>
      <c r="CC268" s="45"/>
      <c r="CD268" s="45"/>
      <c r="CE268" s="45"/>
      <c r="CF268" s="45"/>
      <c r="CG268" s="45"/>
      <c r="CH268" s="45"/>
      <c r="CI268" s="45"/>
      <c r="CJ268" s="45"/>
      <c r="CK268" s="45"/>
      <c r="CL268" s="45"/>
      <c r="CM268" s="45"/>
      <c r="CN268" s="45"/>
      <c r="CO268" s="45"/>
      <c r="CP268" s="45"/>
      <c r="CQ268" s="45"/>
      <c r="CR268" s="45"/>
      <c r="CS268" s="45"/>
      <c r="CT268" s="45"/>
      <c r="CU268" s="45"/>
      <c r="CV268" s="45"/>
      <c r="CW268" s="45"/>
      <c r="CX268" s="45"/>
      <c r="CY268" s="45"/>
      <c r="CZ268" s="45"/>
      <c r="DA268" s="45"/>
      <c r="DB268" s="45"/>
      <c r="DC268" s="45"/>
      <c r="DD268" s="45"/>
      <c r="DE268" s="45"/>
      <c r="DF268" s="45"/>
      <c r="DG268" s="45"/>
      <c r="DH268" s="45"/>
      <c r="DI268" s="45"/>
      <c r="DJ268" s="45"/>
    </row>
    <row r="269" spans="1:114" s="46" customFormat="1" ht="24" customHeight="1">
      <c r="A269" s="169" t="s">
        <v>15</v>
      </c>
      <c r="B269" s="22">
        <f>B267</f>
        <v>15000</v>
      </c>
      <c r="C269" s="116"/>
      <c r="D269" s="22">
        <f>D267+D268</f>
        <v>51022.63</v>
      </c>
      <c r="E269" s="85"/>
      <c r="F269" s="6"/>
      <c r="G269" s="41"/>
      <c r="H269" s="8">
        <f>H267+H268</f>
        <v>0</v>
      </c>
      <c r="I269" s="8"/>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c r="BE269" s="45"/>
      <c r="BF269" s="45"/>
      <c r="BG269" s="45"/>
      <c r="BH269" s="45"/>
      <c r="BI269" s="45"/>
      <c r="BJ269" s="45"/>
      <c r="BK269" s="45"/>
      <c r="BL269" s="45"/>
      <c r="BM269" s="45"/>
      <c r="BN269" s="45"/>
      <c r="BO269" s="45"/>
      <c r="BP269" s="45"/>
      <c r="BQ269" s="45"/>
      <c r="BR269" s="45"/>
      <c r="BS269" s="45"/>
      <c r="BT269" s="45"/>
      <c r="BU269" s="45"/>
      <c r="BV269" s="45"/>
      <c r="BW269" s="45"/>
      <c r="BX269" s="45"/>
      <c r="BY269" s="45"/>
      <c r="BZ269" s="45"/>
      <c r="CA269" s="45"/>
      <c r="CB269" s="45"/>
      <c r="CC269" s="45"/>
      <c r="CD269" s="45"/>
      <c r="CE269" s="45"/>
      <c r="CF269" s="45"/>
      <c r="CG269" s="45"/>
      <c r="CH269" s="45"/>
      <c r="CI269" s="45"/>
      <c r="CJ269" s="45"/>
      <c r="CK269" s="45"/>
      <c r="CL269" s="45"/>
      <c r="CM269" s="45"/>
      <c r="CN269" s="45"/>
      <c r="CO269" s="45"/>
      <c r="CP269" s="45"/>
      <c r="CQ269" s="45"/>
      <c r="CR269" s="45"/>
      <c r="CS269" s="45"/>
      <c r="CT269" s="45"/>
      <c r="CU269" s="45"/>
      <c r="CV269" s="45"/>
      <c r="CW269" s="45"/>
      <c r="CX269" s="45"/>
      <c r="CY269" s="45"/>
      <c r="CZ269" s="45"/>
      <c r="DA269" s="45"/>
      <c r="DB269" s="45"/>
      <c r="DC269" s="45"/>
      <c r="DD269" s="45"/>
      <c r="DE269" s="45"/>
      <c r="DF269" s="45"/>
      <c r="DG269" s="45"/>
      <c r="DH269" s="45"/>
      <c r="DI269" s="45"/>
      <c r="DJ269" s="45"/>
    </row>
    <row r="270" spans="1:114" s="46" customFormat="1" ht="39" customHeight="1">
      <c r="A270" s="78" t="s">
        <v>51</v>
      </c>
      <c r="B270" s="59"/>
      <c r="C270" s="152" t="s">
        <v>211</v>
      </c>
      <c r="D270" s="82">
        <v>24.3</v>
      </c>
      <c r="E270" s="105" t="s">
        <v>87</v>
      </c>
      <c r="F270" s="6"/>
      <c r="G270" s="41"/>
      <c r="H270" s="5"/>
      <c r="I270" s="14"/>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c r="BC270" s="45"/>
      <c r="BD270" s="45"/>
      <c r="BE270" s="45"/>
      <c r="BF270" s="45"/>
      <c r="BG270" s="45"/>
      <c r="BH270" s="45"/>
      <c r="BI270" s="45"/>
      <c r="BJ270" s="45"/>
      <c r="BK270" s="45"/>
      <c r="BL270" s="45"/>
      <c r="BM270" s="45"/>
      <c r="BN270" s="45"/>
      <c r="BO270" s="45"/>
      <c r="BP270" s="45"/>
      <c r="BQ270" s="45"/>
      <c r="BR270" s="45"/>
      <c r="BS270" s="45"/>
      <c r="BT270" s="45"/>
      <c r="BU270" s="45"/>
      <c r="BV270" s="45"/>
      <c r="BW270" s="45"/>
      <c r="BX270" s="45"/>
      <c r="BY270" s="45"/>
      <c r="BZ270" s="45"/>
      <c r="CA270" s="45"/>
      <c r="CB270" s="45"/>
      <c r="CC270" s="45"/>
      <c r="CD270" s="45"/>
      <c r="CE270" s="45"/>
      <c r="CF270" s="45"/>
      <c r="CG270" s="45"/>
      <c r="CH270" s="45"/>
      <c r="CI270" s="45"/>
      <c r="CJ270" s="45"/>
      <c r="CK270" s="45"/>
      <c r="CL270" s="45"/>
      <c r="CM270" s="45"/>
      <c r="CN270" s="45"/>
      <c r="CO270" s="45"/>
      <c r="CP270" s="45"/>
      <c r="CQ270" s="45"/>
      <c r="CR270" s="45"/>
      <c r="CS270" s="45"/>
      <c r="CT270" s="45"/>
      <c r="CU270" s="45"/>
      <c r="CV270" s="45"/>
      <c r="CW270" s="45"/>
      <c r="CX270" s="45"/>
      <c r="CY270" s="45"/>
      <c r="CZ270" s="45"/>
      <c r="DA270" s="45"/>
      <c r="DB270" s="45"/>
      <c r="DC270" s="45"/>
      <c r="DD270" s="45"/>
      <c r="DE270" s="45"/>
      <c r="DF270" s="45"/>
      <c r="DG270" s="45"/>
      <c r="DH270" s="45"/>
      <c r="DI270" s="45"/>
      <c r="DJ270" s="45"/>
    </row>
    <row r="271" spans="1:114" s="46" customFormat="1" ht="24.75" customHeight="1" thickBot="1">
      <c r="A271" s="153" t="s">
        <v>15</v>
      </c>
      <c r="B271" s="39">
        <f>B270</f>
        <v>0</v>
      </c>
      <c r="C271" s="2"/>
      <c r="D271" s="89">
        <f>D270</f>
        <v>24.3</v>
      </c>
      <c r="E271" s="22"/>
      <c r="F271" s="9"/>
      <c r="G271" s="41"/>
      <c r="H271" s="50">
        <f>H270</f>
        <v>0</v>
      </c>
      <c r="I271" s="8"/>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45"/>
      <c r="BG271" s="45"/>
      <c r="BH271" s="45"/>
      <c r="BI271" s="45"/>
      <c r="BJ271" s="45"/>
      <c r="BK271" s="45"/>
      <c r="BL271" s="45"/>
      <c r="BM271" s="45"/>
      <c r="BN271" s="45"/>
      <c r="BO271" s="45"/>
      <c r="BP271" s="45"/>
      <c r="BQ271" s="45"/>
      <c r="BR271" s="45"/>
      <c r="BS271" s="45"/>
      <c r="BT271" s="45"/>
      <c r="BU271" s="45"/>
      <c r="BV271" s="45"/>
      <c r="BW271" s="45"/>
      <c r="BX271" s="45"/>
      <c r="BY271" s="45"/>
      <c r="BZ271" s="45"/>
      <c r="CA271" s="45"/>
      <c r="CB271" s="45"/>
      <c r="CC271" s="45"/>
      <c r="CD271" s="45"/>
      <c r="CE271" s="45"/>
      <c r="CF271" s="45"/>
      <c r="CG271" s="45"/>
      <c r="CH271" s="45"/>
      <c r="CI271" s="45"/>
      <c r="CJ271" s="45"/>
      <c r="CK271" s="45"/>
      <c r="CL271" s="45"/>
      <c r="CM271" s="45"/>
      <c r="CN271" s="45"/>
      <c r="CO271" s="45"/>
      <c r="CP271" s="45"/>
      <c r="CQ271" s="45"/>
      <c r="CR271" s="45"/>
      <c r="CS271" s="45"/>
      <c r="CT271" s="45"/>
      <c r="CU271" s="45"/>
      <c r="CV271" s="45"/>
      <c r="CW271" s="45"/>
      <c r="CX271" s="45"/>
      <c r="CY271" s="45"/>
      <c r="CZ271" s="45"/>
      <c r="DA271" s="45"/>
      <c r="DB271" s="45"/>
      <c r="DC271" s="45"/>
      <c r="DD271" s="45"/>
      <c r="DE271" s="45"/>
      <c r="DF271" s="45"/>
      <c r="DG271" s="45"/>
      <c r="DH271" s="45"/>
      <c r="DI271" s="45"/>
      <c r="DJ271" s="45"/>
    </row>
    <row r="272" spans="1:114" s="67" customFormat="1" ht="60.75" customHeight="1" thickBot="1">
      <c r="A272" s="163" t="s">
        <v>57</v>
      </c>
      <c r="B272" s="22">
        <f>SUM(B261+B108+B114+B119+B125+B138+B157+B162+B171+B183+B191+B269+B198+B202+B206+B213+B220+B224+B234+B238+B244+B252+B255+B258+B263+B266+B271)</f>
        <v>85720.20999999999</v>
      </c>
      <c r="C272" s="22"/>
      <c r="D272" s="101">
        <f>SUM(D261+D108+D114+D269+D119+D125+D138+D157+D162+D171+D183+D191+D198+D202+D206+D213+D220+D224+D234+D238+D244+D252+D255+D258+D263+D266+D271+D248)</f>
        <v>14688977.120000001</v>
      </c>
      <c r="E272" s="22">
        <f>SUM(E261+E92+E95+E108+E114+E269+E119+E125+E138+E157+E162+E171+E183+E191+E198+E202+E206+E213+E220+E224+E234+E238+E244+E252+E255+E258+E263+E266+E271)</f>
        <v>0</v>
      </c>
      <c r="F272" s="22">
        <f>SUM(F261+F92+F95+F108+F114+F269+F119+F125+F138+F157+F162+F171+F183+F191+F198+F202+F206+F213+F220+F224+F234+F238+F244+F252+F255+F258+F263+F266+F271)</f>
        <v>0</v>
      </c>
      <c r="G272" s="22">
        <f>SUM(G261+G92+G95+G108+G114+G269+G119+G125+G138+G157+G162+G171+G183+G191+G198+G202+G206+G213+G220+G224+G234+G238+G244+G252+G255+G258+G263+G266+G271)</f>
        <v>0</v>
      </c>
      <c r="H272" s="22">
        <f>SUM(H261+H92+H95+H108+H114+H269+H119+H125+H138+H157+H162+H171+H183+H191+H198+H202+H206+H213+H220+H224+H234+H238+H244+H252+H255+H258+H263+H266+H271)+H248</f>
        <v>0</v>
      </c>
      <c r="I272" s="22">
        <f>SUM(I261+I92+I95+I108+I114+I269+I119+I125+I138+I157+I162+I171+I183+I191+I198+I202+I206+I213+I220+I224+I234+I238+I244+I252+I255+I258+I263+I266+I271)</f>
        <v>0</v>
      </c>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c r="CG272" s="66"/>
      <c r="CH272" s="66"/>
      <c r="CI272" s="66"/>
      <c r="CJ272" s="66"/>
      <c r="CK272" s="66"/>
      <c r="CL272" s="66"/>
      <c r="CM272" s="66"/>
      <c r="CN272" s="66"/>
      <c r="CO272" s="66"/>
      <c r="CP272" s="66"/>
      <c r="CQ272" s="66"/>
      <c r="CR272" s="66"/>
      <c r="CS272" s="66"/>
      <c r="CT272" s="66"/>
      <c r="CU272" s="66"/>
      <c r="CV272" s="66"/>
      <c r="CW272" s="66"/>
      <c r="CX272" s="66"/>
      <c r="CY272" s="66"/>
      <c r="CZ272" s="66"/>
      <c r="DA272" s="66"/>
      <c r="DB272" s="66"/>
      <c r="DC272" s="66"/>
      <c r="DD272" s="66"/>
      <c r="DE272" s="66"/>
      <c r="DF272" s="66"/>
      <c r="DG272" s="66"/>
      <c r="DH272" s="66"/>
      <c r="DI272" s="66"/>
      <c r="DJ272" s="66"/>
    </row>
    <row r="273" spans="1:114" s="67" customFormat="1" ht="79.5" customHeight="1" thickBot="1">
      <c r="A273" s="153" t="s">
        <v>58</v>
      </c>
      <c r="B273" s="23">
        <f>SUM(B96+B272)</f>
        <v>191324.01</v>
      </c>
      <c r="C273" s="23"/>
      <c r="D273" s="23">
        <f aca="true" t="shared" si="0" ref="D273:I273">SUM(D96+D272)</f>
        <v>15580941.080000002</v>
      </c>
      <c r="E273" s="23">
        <f t="shared" si="0"/>
        <v>0</v>
      </c>
      <c r="F273" s="23">
        <f t="shared" si="0"/>
        <v>0</v>
      </c>
      <c r="G273" s="23">
        <f t="shared" si="0"/>
        <v>0</v>
      </c>
      <c r="H273" s="23">
        <f t="shared" si="0"/>
        <v>0</v>
      </c>
      <c r="I273" s="23">
        <f t="shared" si="0"/>
        <v>0</v>
      </c>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6"/>
      <c r="BN273" s="66"/>
      <c r="BO273" s="66"/>
      <c r="BP273" s="66"/>
      <c r="BQ273" s="66"/>
      <c r="BR273" s="66"/>
      <c r="BS273" s="66"/>
      <c r="BT273" s="66"/>
      <c r="BU273" s="66"/>
      <c r="BV273" s="66"/>
      <c r="BW273" s="66"/>
      <c r="BX273" s="66"/>
      <c r="BY273" s="66"/>
      <c r="BZ273" s="66"/>
      <c r="CA273" s="66"/>
      <c r="CB273" s="66"/>
      <c r="CC273" s="66"/>
      <c r="CD273" s="66"/>
      <c r="CE273" s="66"/>
      <c r="CF273" s="66"/>
      <c r="CG273" s="66"/>
      <c r="CH273" s="66"/>
      <c r="CI273" s="66"/>
      <c r="CJ273" s="66"/>
      <c r="CK273" s="66"/>
      <c r="CL273" s="66"/>
      <c r="CM273" s="66"/>
      <c r="CN273" s="66"/>
      <c r="CO273" s="66"/>
      <c r="CP273" s="66"/>
      <c r="CQ273" s="66"/>
      <c r="CR273" s="66"/>
      <c r="CS273" s="66"/>
      <c r="CT273" s="66"/>
      <c r="CU273" s="66"/>
      <c r="CV273" s="66"/>
      <c r="CW273" s="66"/>
      <c r="CX273" s="66"/>
      <c r="CY273" s="66"/>
      <c r="CZ273" s="66"/>
      <c r="DA273" s="66"/>
      <c r="DB273" s="66"/>
      <c r="DC273" s="66"/>
      <c r="DD273" s="66"/>
      <c r="DE273" s="66"/>
      <c r="DF273" s="66"/>
      <c r="DG273" s="66"/>
      <c r="DH273" s="66"/>
      <c r="DI273" s="66"/>
      <c r="DJ273" s="66"/>
    </row>
    <row r="274" spans="1:114" s="70" customFormat="1" ht="9.75" customHeight="1" hidden="1">
      <c r="A274" s="68"/>
      <c r="B274" s="68"/>
      <c r="C274" s="68"/>
      <c r="D274" s="90"/>
      <c r="E274" s="71"/>
      <c r="F274" s="69"/>
      <c r="G274" s="69"/>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row>
    <row r="275" spans="1:114" s="70" customFormat="1" ht="34.5" customHeight="1">
      <c r="A275" s="71" t="s">
        <v>59</v>
      </c>
      <c r="B275" s="71"/>
      <c r="C275" s="71"/>
      <c r="D275" s="90"/>
      <c r="E275" s="71" t="s">
        <v>24</v>
      </c>
      <c r="F275" s="69"/>
      <c r="G275" s="25" t="s">
        <v>61</v>
      </c>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c r="CJ275" s="34"/>
      <c r="CK275" s="34"/>
      <c r="CL275" s="34"/>
      <c r="CM275" s="34"/>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row>
    <row r="276" spans="1:9" ht="20.25" customHeight="1">
      <c r="A276" s="68" t="s">
        <v>25</v>
      </c>
      <c r="B276" s="68"/>
      <c r="C276" s="26"/>
      <c r="D276" s="91"/>
      <c r="E276" s="95"/>
      <c r="F276" s="24"/>
      <c r="G276" s="24" t="s">
        <v>84</v>
      </c>
      <c r="H276" s="13"/>
      <c r="I276" s="13"/>
    </row>
    <row r="277" spans="2:10" ht="26.25" customHeight="1">
      <c r="B277" s="26"/>
      <c r="C277" s="26"/>
      <c r="D277" s="90"/>
      <c r="E277" s="93"/>
      <c r="F277" s="72"/>
      <c r="G277" s="72"/>
      <c r="H277" s="13"/>
      <c r="I277" s="47"/>
      <c r="J277" s="13" t="s">
        <v>60</v>
      </c>
    </row>
    <row r="278" spans="1:9" ht="20.25" customHeight="1">
      <c r="A278" s="26" t="s">
        <v>324</v>
      </c>
      <c r="B278" s="26"/>
      <c r="C278" s="179"/>
      <c r="D278" s="90"/>
      <c r="E278" s="93"/>
      <c r="F278" s="72"/>
      <c r="G278" s="72"/>
      <c r="H278" s="13"/>
      <c r="I278" s="13"/>
    </row>
    <row r="279" spans="1:9" ht="12" customHeight="1">
      <c r="A279" s="27"/>
      <c r="B279" s="27"/>
      <c r="C279" s="27"/>
      <c r="D279" s="92"/>
      <c r="E279" s="27"/>
      <c r="F279" s="13"/>
      <c r="G279" s="13"/>
      <c r="H279" s="13"/>
      <c r="I279" s="13"/>
    </row>
    <row r="280" spans="1:9" ht="15.75">
      <c r="A280" s="27"/>
      <c r="B280" s="27"/>
      <c r="C280" s="27"/>
      <c r="D280" s="92"/>
      <c r="E280" s="27"/>
      <c r="F280" s="13"/>
      <c r="G280" s="13"/>
      <c r="H280" s="13"/>
      <c r="I280" s="13"/>
    </row>
    <row r="281" spans="1:9" ht="15.75">
      <c r="A281" s="27"/>
      <c r="B281" s="27"/>
      <c r="C281" s="27"/>
      <c r="D281" s="92"/>
      <c r="E281" s="27"/>
      <c r="F281" s="13"/>
      <c r="G281" s="13"/>
      <c r="H281" s="13"/>
      <c r="I281" s="13"/>
    </row>
  </sheetData>
  <sheetProtection/>
  <mergeCells count="140">
    <mergeCell ref="A259:A260"/>
    <mergeCell ref="B259:B260"/>
    <mergeCell ref="A264:A265"/>
    <mergeCell ref="B264:B265"/>
    <mergeCell ref="A267:A268"/>
    <mergeCell ref="B267:B268"/>
    <mergeCell ref="A249:A251"/>
    <mergeCell ref="B249:B251"/>
    <mergeCell ref="A253:A254"/>
    <mergeCell ref="B253:B254"/>
    <mergeCell ref="A256:A257"/>
    <mergeCell ref="B256:B257"/>
    <mergeCell ref="A239:A243"/>
    <mergeCell ref="B239:B243"/>
    <mergeCell ref="F239:F243"/>
    <mergeCell ref="G239:G243"/>
    <mergeCell ref="A245:A247"/>
    <mergeCell ref="B245:B247"/>
    <mergeCell ref="A225:A233"/>
    <mergeCell ref="B225:B233"/>
    <mergeCell ref="F227:F233"/>
    <mergeCell ref="G227:G233"/>
    <mergeCell ref="A235:A237"/>
    <mergeCell ref="B235:B237"/>
    <mergeCell ref="F235:F237"/>
    <mergeCell ref="G235:G237"/>
    <mergeCell ref="A214:A219"/>
    <mergeCell ref="B214:B219"/>
    <mergeCell ref="F217:F219"/>
    <mergeCell ref="G217:G219"/>
    <mergeCell ref="A221:A223"/>
    <mergeCell ref="B221:B223"/>
    <mergeCell ref="C221:C222"/>
    <mergeCell ref="F221:F223"/>
    <mergeCell ref="G221:G223"/>
    <mergeCell ref="A203:A205"/>
    <mergeCell ref="B203:B205"/>
    <mergeCell ref="F203:F205"/>
    <mergeCell ref="G203:G205"/>
    <mergeCell ref="A207:A212"/>
    <mergeCell ref="B207:B212"/>
    <mergeCell ref="F207:F212"/>
    <mergeCell ref="G207:G212"/>
    <mergeCell ref="A192:A197"/>
    <mergeCell ref="B192:B197"/>
    <mergeCell ref="F192:F197"/>
    <mergeCell ref="G192:G197"/>
    <mergeCell ref="A199:A201"/>
    <mergeCell ref="B199:B201"/>
    <mergeCell ref="A172:A182"/>
    <mergeCell ref="B172:B182"/>
    <mergeCell ref="F172:F182"/>
    <mergeCell ref="G172:G182"/>
    <mergeCell ref="A184:A190"/>
    <mergeCell ref="B184:B190"/>
    <mergeCell ref="F184:F190"/>
    <mergeCell ref="G184:G190"/>
    <mergeCell ref="A158:A161"/>
    <mergeCell ref="B158:B161"/>
    <mergeCell ref="F158:F161"/>
    <mergeCell ref="G158:G161"/>
    <mergeCell ref="A163:A170"/>
    <mergeCell ref="B163:B170"/>
    <mergeCell ref="F163:F170"/>
    <mergeCell ref="G163:G170"/>
    <mergeCell ref="A126:A137"/>
    <mergeCell ref="B126:B137"/>
    <mergeCell ref="F132:F137"/>
    <mergeCell ref="G132:G137"/>
    <mergeCell ref="A149:A156"/>
    <mergeCell ref="B149:B156"/>
    <mergeCell ref="F152:F156"/>
    <mergeCell ref="G152:G156"/>
    <mergeCell ref="A115:A118"/>
    <mergeCell ref="B115:B118"/>
    <mergeCell ref="F115:F118"/>
    <mergeCell ref="G115:G118"/>
    <mergeCell ref="A120:A124"/>
    <mergeCell ref="B120:B124"/>
    <mergeCell ref="F120:F124"/>
    <mergeCell ref="G120:G124"/>
    <mergeCell ref="A97:A107"/>
    <mergeCell ref="B97:B107"/>
    <mergeCell ref="A109:A113"/>
    <mergeCell ref="B109:B113"/>
    <mergeCell ref="F109:F113"/>
    <mergeCell ref="G109:G113"/>
    <mergeCell ref="A83:A86"/>
    <mergeCell ref="B83:B86"/>
    <mergeCell ref="A88:A91"/>
    <mergeCell ref="B88:B91"/>
    <mergeCell ref="A93:A94"/>
    <mergeCell ref="B93:B94"/>
    <mergeCell ref="A73:A75"/>
    <mergeCell ref="B73:B75"/>
    <mergeCell ref="A77:A78"/>
    <mergeCell ref="B77:B78"/>
    <mergeCell ref="A80:A81"/>
    <mergeCell ref="B80:B81"/>
    <mergeCell ref="A60:A61"/>
    <mergeCell ref="B60:B61"/>
    <mergeCell ref="A63:A68"/>
    <mergeCell ref="B63:B68"/>
    <mergeCell ref="A70:A71"/>
    <mergeCell ref="B70:B71"/>
    <mergeCell ref="A47:A49"/>
    <mergeCell ref="B47:B49"/>
    <mergeCell ref="A51:A55"/>
    <mergeCell ref="B51:B55"/>
    <mergeCell ref="A57:A58"/>
    <mergeCell ref="B57:B58"/>
    <mergeCell ref="F38:F39"/>
    <mergeCell ref="G38:G39"/>
    <mergeCell ref="H38:H39"/>
    <mergeCell ref="I38:I39"/>
    <mergeCell ref="A43:A45"/>
    <mergeCell ref="B43:B45"/>
    <mergeCell ref="A30:A31"/>
    <mergeCell ref="B30:B31"/>
    <mergeCell ref="A33:A36"/>
    <mergeCell ref="B33:B36"/>
    <mergeCell ref="A38:A41"/>
    <mergeCell ref="B38:B41"/>
    <mergeCell ref="H9:I10"/>
    <mergeCell ref="A12:A15"/>
    <mergeCell ref="B12:B15"/>
    <mergeCell ref="A17:A21"/>
    <mergeCell ref="B17:B21"/>
    <mergeCell ref="A23:A29"/>
    <mergeCell ref="B23:B28"/>
    <mergeCell ref="G4:I4"/>
    <mergeCell ref="A5:I5"/>
    <mergeCell ref="A6:I6"/>
    <mergeCell ref="A7:I7"/>
    <mergeCell ref="A8:A11"/>
    <mergeCell ref="B8:E8"/>
    <mergeCell ref="F8:I8"/>
    <mergeCell ref="B9:C10"/>
    <mergeCell ref="D9:E10"/>
    <mergeCell ref="F9:G10"/>
  </mergeCells>
  <printOptions/>
  <pageMargins left="0.5118110236220472" right="0.11811023622047245" top="0.11811023622047245" bottom="0.11811023622047245"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DJ287"/>
  <sheetViews>
    <sheetView tabSelected="1" zoomScalePageLayoutView="0" workbookViewId="0" topLeftCell="A9">
      <pane xSplit="1" ySplit="3" topLeftCell="B237" activePane="bottomRight" state="frozen"/>
      <selection pane="topLeft" activeCell="A9" sqref="A9"/>
      <selection pane="topRight" activeCell="B9" sqref="B9"/>
      <selection pane="bottomLeft" activeCell="A12" sqref="A12"/>
      <selection pane="bottomRight" activeCell="L285" sqref="L285"/>
    </sheetView>
  </sheetViews>
  <sheetFormatPr defaultColWidth="25.7109375" defaultRowHeight="15"/>
  <cols>
    <col min="1" max="1" width="14.28125" style="28" customWidth="1"/>
    <col min="2" max="2" width="11.8515625" style="28" customWidth="1"/>
    <col min="3" max="3" width="39.00390625" style="28" customWidth="1"/>
    <col min="4" max="4" width="14.57421875" style="73" customWidth="1"/>
    <col min="5" max="5" width="19.140625" style="28" customWidth="1"/>
    <col min="6" max="6" width="7.421875" style="1" customWidth="1"/>
    <col min="7" max="7" width="7.28125" style="1" customWidth="1"/>
    <col min="8" max="8" width="9.28125" style="1" customWidth="1"/>
    <col min="9" max="9" width="9.140625" style="1" customWidth="1"/>
    <col min="10" max="114" width="25.7109375" style="13" customWidth="1"/>
    <col min="115" max="16384" width="25.7109375" style="1" customWidth="1"/>
  </cols>
  <sheetData>
    <row r="1" spans="3:9" ht="18" customHeight="1">
      <c r="C1" s="28" t="s">
        <v>24</v>
      </c>
      <c r="F1" s="29" t="s">
        <v>49</v>
      </c>
      <c r="I1" s="29"/>
    </row>
    <row r="2" spans="6:9" ht="18" customHeight="1">
      <c r="F2" s="29" t="s">
        <v>45</v>
      </c>
      <c r="I2" s="29"/>
    </row>
    <row r="3" spans="6:9" ht="16.5" customHeight="1">
      <c r="F3" s="29" t="s">
        <v>46</v>
      </c>
      <c r="I3" s="29"/>
    </row>
    <row r="4" spans="7:9" ht="15.75">
      <c r="G4" s="297"/>
      <c r="H4" s="297"/>
      <c r="I4" s="297"/>
    </row>
    <row r="5" spans="1:9" ht="15.75">
      <c r="A5" s="298" t="s">
        <v>19</v>
      </c>
      <c r="B5" s="298"/>
      <c r="C5" s="298"/>
      <c r="D5" s="298"/>
      <c r="E5" s="298"/>
      <c r="F5" s="298"/>
      <c r="G5" s="298"/>
      <c r="H5" s="298"/>
      <c r="I5" s="298"/>
    </row>
    <row r="6" spans="1:9" ht="15.75">
      <c r="A6" s="298" t="s">
        <v>325</v>
      </c>
      <c r="B6" s="298"/>
      <c r="C6" s="298"/>
      <c r="D6" s="298"/>
      <c r="E6" s="298"/>
      <c r="F6" s="298"/>
      <c r="G6" s="298"/>
      <c r="H6" s="298"/>
      <c r="I6" s="298"/>
    </row>
    <row r="7" spans="1:9" ht="26.25" customHeight="1">
      <c r="A7" s="298" t="s">
        <v>20</v>
      </c>
      <c r="B7" s="298"/>
      <c r="C7" s="298"/>
      <c r="D7" s="298"/>
      <c r="E7" s="298"/>
      <c r="F7" s="298"/>
      <c r="G7" s="298"/>
      <c r="H7" s="298"/>
      <c r="I7" s="298"/>
    </row>
    <row r="8" spans="1:10" ht="30" customHeight="1">
      <c r="A8" s="299" t="s">
        <v>21</v>
      </c>
      <c r="B8" s="294" t="s">
        <v>0</v>
      </c>
      <c r="C8" s="294"/>
      <c r="D8" s="294"/>
      <c r="E8" s="294"/>
      <c r="F8" s="294" t="s">
        <v>1</v>
      </c>
      <c r="G8" s="294"/>
      <c r="H8" s="294"/>
      <c r="I8" s="294"/>
      <c r="J8" s="36"/>
    </row>
    <row r="9" spans="1:10" ht="13.5" customHeight="1">
      <c r="A9" s="299"/>
      <c r="B9" s="299" t="s">
        <v>2</v>
      </c>
      <c r="C9" s="299"/>
      <c r="D9" s="299" t="s">
        <v>18</v>
      </c>
      <c r="E9" s="299"/>
      <c r="F9" s="294" t="s">
        <v>2</v>
      </c>
      <c r="G9" s="294"/>
      <c r="H9" s="294" t="s">
        <v>3</v>
      </c>
      <c r="I9" s="295"/>
      <c r="J9" s="36"/>
    </row>
    <row r="10" spans="1:10" ht="22.5" customHeight="1">
      <c r="A10" s="299"/>
      <c r="B10" s="299"/>
      <c r="C10" s="299"/>
      <c r="D10" s="299"/>
      <c r="E10" s="299"/>
      <c r="F10" s="294"/>
      <c r="G10" s="294"/>
      <c r="H10" s="295"/>
      <c r="I10" s="295"/>
      <c r="J10" s="36"/>
    </row>
    <row r="11" spans="1:10" ht="51" customHeight="1">
      <c r="A11" s="299"/>
      <c r="B11" s="16" t="s">
        <v>17</v>
      </c>
      <c r="C11" s="16" t="s">
        <v>4</v>
      </c>
      <c r="D11" s="16" t="s">
        <v>17</v>
      </c>
      <c r="E11" s="14" t="s">
        <v>343</v>
      </c>
      <c r="F11" s="14" t="s">
        <v>17</v>
      </c>
      <c r="G11" s="14" t="s">
        <v>4</v>
      </c>
      <c r="H11" s="14" t="s">
        <v>17</v>
      </c>
      <c r="I11" s="14" t="s">
        <v>6</v>
      </c>
      <c r="J11" s="36"/>
    </row>
    <row r="12" spans="1:11" ht="72.75" customHeight="1">
      <c r="A12" s="277" t="s">
        <v>63</v>
      </c>
      <c r="B12" s="296"/>
      <c r="C12" s="156" t="s">
        <v>354</v>
      </c>
      <c r="D12" s="187">
        <f>60991.75+14616.26</f>
        <v>75608.01</v>
      </c>
      <c r="E12" s="105" t="s">
        <v>87</v>
      </c>
      <c r="F12" s="37"/>
      <c r="G12" s="32"/>
      <c r="H12" s="38"/>
      <c r="I12" s="15"/>
      <c r="J12" s="36"/>
      <c r="K12" s="47"/>
    </row>
    <row r="13" spans="1:10" ht="34.5" customHeight="1">
      <c r="A13" s="277"/>
      <c r="B13" s="296"/>
      <c r="C13" s="158" t="s">
        <v>203</v>
      </c>
      <c r="D13" s="240">
        <v>18</v>
      </c>
      <c r="E13" s="105" t="s">
        <v>202</v>
      </c>
      <c r="F13" s="37"/>
      <c r="G13" s="32"/>
      <c r="H13" s="38"/>
      <c r="I13" s="15"/>
      <c r="J13" s="36"/>
    </row>
    <row r="14" spans="1:10" ht="36" customHeight="1">
      <c r="A14" s="277"/>
      <c r="B14" s="296"/>
      <c r="C14" s="158" t="s">
        <v>318</v>
      </c>
      <c r="D14" s="228">
        <v>1000</v>
      </c>
      <c r="E14" s="105" t="s">
        <v>317</v>
      </c>
      <c r="F14" s="37"/>
      <c r="G14" s="32"/>
      <c r="H14" s="38"/>
      <c r="I14" s="15"/>
      <c r="J14" s="36"/>
    </row>
    <row r="15" spans="1:10" ht="38.25" customHeight="1">
      <c r="A15" s="277"/>
      <c r="B15" s="296"/>
      <c r="C15" s="149" t="s">
        <v>176</v>
      </c>
      <c r="D15" s="223">
        <f>1460+3740+384</f>
        <v>5584</v>
      </c>
      <c r="E15" s="105" t="s">
        <v>175</v>
      </c>
      <c r="F15" s="37"/>
      <c r="G15" s="32"/>
      <c r="H15" s="38"/>
      <c r="I15" s="30"/>
      <c r="J15" s="36"/>
    </row>
    <row r="16" spans="1:114" s="46" customFormat="1" ht="20.25" customHeight="1">
      <c r="A16" s="153" t="s">
        <v>14</v>
      </c>
      <c r="B16" s="39">
        <f>SUM(B12:B15)</f>
        <v>0</v>
      </c>
      <c r="C16" s="2"/>
      <c r="D16" s="79">
        <f>SUM(D12:D15)</f>
        <v>82210.01</v>
      </c>
      <c r="E16" s="76"/>
      <c r="F16" s="40"/>
      <c r="G16" s="41"/>
      <c r="H16" s="42">
        <f>SUM(H12:H15)</f>
        <v>0</v>
      </c>
      <c r="I16" s="31"/>
      <c r="J16" s="43"/>
      <c r="K16" s="44"/>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row>
    <row r="17" spans="1:11" ht="111" customHeight="1">
      <c r="A17" s="277" t="s">
        <v>64</v>
      </c>
      <c r="B17" s="278">
        <f>10924+2387.2+737.2</f>
        <v>14048.400000000001</v>
      </c>
      <c r="C17" s="152" t="s">
        <v>255</v>
      </c>
      <c r="D17" s="188">
        <f>65451.19+5971.8</f>
        <v>71422.99</v>
      </c>
      <c r="E17" s="105" t="s">
        <v>87</v>
      </c>
      <c r="F17" s="37"/>
      <c r="G17" s="32"/>
      <c r="H17" s="30"/>
      <c r="I17" s="15"/>
      <c r="J17" s="36"/>
      <c r="K17" s="47"/>
    </row>
    <row r="18" spans="1:11" ht="55.5" customHeight="1">
      <c r="A18" s="277"/>
      <c r="B18" s="279"/>
      <c r="C18" s="158" t="s">
        <v>319</v>
      </c>
      <c r="D18" s="60"/>
      <c r="E18" s="105"/>
      <c r="F18" s="37"/>
      <c r="G18" s="32"/>
      <c r="H18" s="30"/>
      <c r="I18" s="15"/>
      <c r="J18" s="36"/>
      <c r="K18" s="47"/>
    </row>
    <row r="19" spans="1:11" ht="39" customHeight="1">
      <c r="A19" s="277"/>
      <c r="B19" s="279"/>
      <c r="C19" s="158" t="s">
        <v>318</v>
      </c>
      <c r="D19" s="228">
        <v>500</v>
      </c>
      <c r="E19" s="105" t="s">
        <v>317</v>
      </c>
      <c r="F19" s="37"/>
      <c r="G19" s="32"/>
      <c r="H19" s="30"/>
      <c r="I19" s="15"/>
      <c r="J19" s="36"/>
      <c r="K19" s="47"/>
    </row>
    <row r="20" spans="1:11" ht="35.25" customHeight="1">
      <c r="A20" s="277"/>
      <c r="B20" s="279"/>
      <c r="C20" s="116" t="s">
        <v>203</v>
      </c>
      <c r="D20" s="240">
        <v>18</v>
      </c>
      <c r="E20" s="105" t="s">
        <v>202</v>
      </c>
      <c r="F20" s="37"/>
      <c r="G20" s="32"/>
      <c r="H20" s="30"/>
      <c r="I20" s="15"/>
      <c r="J20" s="36"/>
      <c r="K20" s="47"/>
    </row>
    <row r="21" spans="1:11" ht="37.5" customHeight="1">
      <c r="A21" s="277"/>
      <c r="B21" s="280"/>
      <c r="C21" s="149" t="s">
        <v>176</v>
      </c>
      <c r="D21" s="223">
        <f>1733.75+4080+432</f>
        <v>6245.75</v>
      </c>
      <c r="E21" s="105" t="s">
        <v>175</v>
      </c>
      <c r="F21" s="37"/>
      <c r="G21" s="32"/>
      <c r="H21" s="30"/>
      <c r="I21" s="30"/>
      <c r="J21" s="36"/>
      <c r="K21" s="47"/>
    </row>
    <row r="22" spans="1:114" s="46" customFormat="1" ht="22.5" customHeight="1">
      <c r="A22" s="153" t="s">
        <v>14</v>
      </c>
      <c r="B22" s="39">
        <f>SUM(B17)</f>
        <v>14048.400000000001</v>
      </c>
      <c r="C22" s="152"/>
      <c r="D22" s="64">
        <f>SUM(D17:D21)</f>
        <v>78186.74</v>
      </c>
      <c r="E22" s="76"/>
      <c r="F22" s="40"/>
      <c r="G22" s="41"/>
      <c r="H22" s="31">
        <f>SUM(H17:H21)</f>
        <v>0</v>
      </c>
      <c r="I22" s="31"/>
      <c r="J22" s="43"/>
      <c r="K22" s="44"/>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row>
    <row r="23" spans="1:114" s="46" customFormat="1" ht="31.5" customHeight="1">
      <c r="A23" s="277" t="s">
        <v>65</v>
      </c>
      <c r="B23" s="278">
        <v>800</v>
      </c>
      <c r="C23" s="152" t="s">
        <v>197</v>
      </c>
      <c r="D23" s="236">
        <v>33070.22</v>
      </c>
      <c r="E23" s="105" t="s">
        <v>206</v>
      </c>
      <c r="F23" s="40"/>
      <c r="G23" s="41"/>
      <c r="H23" s="30"/>
      <c r="I23" s="15"/>
      <c r="J23" s="43"/>
      <c r="K23" s="44"/>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row>
    <row r="24" spans="1:114" s="46" customFormat="1" ht="31.5" customHeight="1">
      <c r="A24" s="277"/>
      <c r="B24" s="279"/>
      <c r="C24" s="116" t="s">
        <v>320</v>
      </c>
      <c r="D24" s="16"/>
      <c r="E24" s="105"/>
      <c r="F24" s="40"/>
      <c r="G24" s="41"/>
      <c r="H24" s="30"/>
      <c r="I24" s="15"/>
      <c r="J24" s="43"/>
      <c r="K24" s="44"/>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row>
    <row r="25" spans="1:114" s="46" customFormat="1" ht="56.25" customHeight="1">
      <c r="A25" s="277"/>
      <c r="B25" s="279"/>
      <c r="C25" s="158" t="s">
        <v>355</v>
      </c>
      <c r="D25" s="188">
        <f>9468.3+50998.33+14616.26</f>
        <v>75082.89</v>
      </c>
      <c r="E25" s="105" t="s">
        <v>87</v>
      </c>
      <c r="F25" s="40"/>
      <c r="G25" s="41"/>
      <c r="H25" s="30"/>
      <c r="I25" s="15"/>
      <c r="J25" s="43"/>
      <c r="K25" s="44"/>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row>
    <row r="26" spans="1:114" s="46" customFormat="1" ht="43.5" customHeight="1">
      <c r="A26" s="277"/>
      <c r="B26" s="279"/>
      <c r="C26" s="116" t="s">
        <v>266</v>
      </c>
      <c r="D26" s="223">
        <v>2160.6</v>
      </c>
      <c r="E26" s="105" t="s">
        <v>175</v>
      </c>
      <c r="F26" s="40"/>
      <c r="G26" s="41"/>
      <c r="H26" s="30"/>
      <c r="I26" s="15"/>
      <c r="J26" s="43"/>
      <c r="K26" s="44"/>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row>
    <row r="27" spans="1:114" s="46" customFormat="1" ht="38.25" customHeight="1">
      <c r="A27" s="277"/>
      <c r="B27" s="279"/>
      <c r="C27" s="158" t="s">
        <v>318</v>
      </c>
      <c r="D27" s="228">
        <v>1500</v>
      </c>
      <c r="E27" s="105" t="s">
        <v>317</v>
      </c>
      <c r="F27" s="40"/>
      <c r="G27" s="41"/>
      <c r="H27" s="30"/>
      <c r="I27" s="15"/>
      <c r="J27" s="43"/>
      <c r="K27" s="44"/>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row>
    <row r="28" spans="1:114" s="46" customFormat="1" ht="31.5" customHeight="1">
      <c r="A28" s="277"/>
      <c r="B28" s="280"/>
      <c r="C28" s="116" t="s">
        <v>203</v>
      </c>
      <c r="D28" s="240">
        <v>18</v>
      </c>
      <c r="E28" s="105" t="s">
        <v>202</v>
      </c>
      <c r="F28" s="40"/>
      <c r="G28" s="41"/>
      <c r="H28" s="30"/>
      <c r="I28" s="15"/>
      <c r="J28" s="43"/>
      <c r="K28" s="4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row>
    <row r="29" spans="1:114" s="46" customFormat="1" ht="20.25" customHeight="1">
      <c r="A29" s="277"/>
      <c r="B29" s="39">
        <f>SUM(B23)</f>
        <v>800</v>
      </c>
      <c r="C29" s="116"/>
      <c r="D29" s="77">
        <f>SUM(D23:D28)</f>
        <v>111831.71</v>
      </c>
      <c r="E29" s="76"/>
      <c r="F29" s="48">
        <f>F23</f>
        <v>0</v>
      </c>
      <c r="G29" s="41"/>
      <c r="H29" s="31">
        <f>SUM(H23:H23)</f>
        <v>0</v>
      </c>
      <c r="I29" s="31"/>
      <c r="J29" s="43"/>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row>
    <row r="30" spans="1:11" ht="28.5" customHeight="1">
      <c r="A30" s="254" t="s">
        <v>66</v>
      </c>
      <c r="B30" s="278">
        <v>1400</v>
      </c>
      <c r="C30" s="156" t="s">
        <v>363</v>
      </c>
      <c r="D30" s="188">
        <f>24.3+500</f>
        <v>524.3</v>
      </c>
      <c r="E30" s="105" t="s">
        <v>87</v>
      </c>
      <c r="F30" s="37"/>
      <c r="G30" s="32"/>
      <c r="H30" s="30"/>
      <c r="I30" s="15"/>
      <c r="J30" s="36"/>
      <c r="K30" s="47"/>
    </row>
    <row r="31" spans="1:11" ht="29.25" customHeight="1">
      <c r="A31" s="255"/>
      <c r="B31" s="280"/>
      <c r="C31" s="175" t="s">
        <v>243</v>
      </c>
      <c r="D31" s="143"/>
      <c r="E31" s="122"/>
      <c r="F31" s="37"/>
      <c r="G31" s="32"/>
      <c r="H31" s="30"/>
      <c r="I31" s="30"/>
      <c r="J31" s="36"/>
      <c r="K31" s="47"/>
    </row>
    <row r="32" spans="1:114" s="46" customFormat="1" ht="25.5" customHeight="1">
      <c r="A32" s="153" t="s">
        <v>15</v>
      </c>
      <c r="B32" s="39">
        <f>B30</f>
        <v>1400</v>
      </c>
      <c r="C32" s="2"/>
      <c r="D32" s="79">
        <f>D31+D30</f>
        <v>524.3</v>
      </c>
      <c r="E32" s="80"/>
      <c r="F32" s="40"/>
      <c r="G32" s="41"/>
      <c r="H32" s="31">
        <f>SUM(H30:H31)</f>
        <v>0</v>
      </c>
      <c r="I32" s="31"/>
      <c r="J32" s="43"/>
      <c r="K32" s="44"/>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row>
    <row r="33" spans="1:114" s="46" customFormat="1" ht="88.5" customHeight="1">
      <c r="A33" s="254" t="s">
        <v>67</v>
      </c>
      <c r="B33" s="278"/>
      <c r="C33" s="156" t="s">
        <v>356</v>
      </c>
      <c r="D33" s="187">
        <f>70702.76+14616.26</f>
        <v>85319.01999999999</v>
      </c>
      <c r="E33" s="105" t="s">
        <v>87</v>
      </c>
      <c r="F33" s="40"/>
      <c r="G33" s="41"/>
      <c r="H33" s="30"/>
      <c r="I33" s="15"/>
      <c r="J33" s="43"/>
      <c r="K33" s="4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row>
    <row r="34" spans="1:114" s="46" customFormat="1" ht="33" customHeight="1">
      <c r="A34" s="260"/>
      <c r="B34" s="279"/>
      <c r="C34" s="116" t="s">
        <v>203</v>
      </c>
      <c r="D34" s="240">
        <v>18</v>
      </c>
      <c r="E34" s="105" t="s">
        <v>202</v>
      </c>
      <c r="F34" s="40"/>
      <c r="G34" s="41"/>
      <c r="H34" s="30"/>
      <c r="I34" s="15"/>
      <c r="J34" s="43"/>
      <c r="K34" s="4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row>
    <row r="35" spans="1:114" s="46" customFormat="1" ht="39" customHeight="1">
      <c r="A35" s="260"/>
      <c r="B35" s="279"/>
      <c r="C35" s="158" t="s">
        <v>318</v>
      </c>
      <c r="D35" s="228">
        <v>1000</v>
      </c>
      <c r="E35" s="105" t="s">
        <v>317</v>
      </c>
      <c r="F35" s="40"/>
      <c r="G35" s="41"/>
      <c r="H35" s="30"/>
      <c r="I35" s="15"/>
      <c r="J35" s="43"/>
      <c r="K35" s="44"/>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row>
    <row r="36" spans="1:11" ht="38.25" customHeight="1">
      <c r="A36" s="255"/>
      <c r="B36" s="280"/>
      <c r="C36" s="149" t="s">
        <v>176</v>
      </c>
      <c r="D36" s="223">
        <f>1898+3740+432</f>
        <v>6070</v>
      </c>
      <c r="E36" s="105" t="s">
        <v>175</v>
      </c>
      <c r="F36" s="37"/>
      <c r="G36" s="32"/>
      <c r="H36" s="38"/>
      <c r="I36" s="32"/>
      <c r="J36" s="36"/>
      <c r="K36" s="47"/>
    </row>
    <row r="37" spans="1:114" s="46" customFormat="1" ht="19.5" customHeight="1">
      <c r="A37" s="153" t="s">
        <v>15</v>
      </c>
      <c r="B37" s="39">
        <f>B33</f>
        <v>0</v>
      </c>
      <c r="C37" s="152"/>
      <c r="D37" s="79">
        <f>SUM(D33:D36)</f>
        <v>92407.01999999999</v>
      </c>
      <c r="E37" s="80"/>
      <c r="F37" s="40"/>
      <c r="G37" s="41"/>
      <c r="H37" s="42">
        <f>SUM(H33:H36)</f>
        <v>0</v>
      </c>
      <c r="I37" s="31"/>
      <c r="J37" s="43"/>
      <c r="K37" s="44"/>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row>
    <row r="38" spans="1:114" s="46" customFormat="1" ht="80.25" customHeight="1">
      <c r="A38" s="254" t="s">
        <v>68</v>
      </c>
      <c r="B38" s="278"/>
      <c r="C38" s="156" t="s">
        <v>357</v>
      </c>
      <c r="D38" s="187">
        <f>85389.43+14616.26</f>
        <v>100005.68999999999</v>
      </c>
      <c r="E38" s="105" t="s">
        <v>87</v>
      </c>
      <c r="F38" s="292"/>
      <c r="G38" s="293"/>
      <c r="H38" s="294"/>
      <c r="I38" s="294"/>
      <c r="J38" s="43"/>
      <c r="K38" s="44"/>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row>
    <row r="39" spans="1:114" s="46" customFormat="1" ht="65.25" customHeight="1">
      <c r="A39" s="260"/>
      <c r="B39" s="279"/>
      <c r="C39" s="149" t="s">
        <v>267</v>
      </c>
      <c r="D39" s="223">
        <f>1952.75+5100+432+2160.6</f>
        <v>9645.35</v>
      </c>
      <c r="E39" s="105" t="s">
        <v>175</v>
      </c>
      <c r="F39" s="292"/>
      <c r="G39" s="293"/>
      <c r="H39" s="294"/>
      <c r="I39" s="294"/>
      <c r="J39" s="43"/>
      <c r="K39" s="44"/>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row>
    <row r="40" spans="1:114" s="46" customFormat="1" ht="39.75" customHeight="1">
      <c r="A40" s="260"/>
      <c r="B40" s="279"/>
      <c r="C40" s="158" t="s">
        <v>318</v>
      </c>
      <c r="D40" s="228">
        <v>2000</v>
      </c>
      <c r="E40" s="105" t="s">
        <v>317</v>
      </c>
      <c r="F40" s="6"/>
      <c r="G40" s="41"/>
      <c r="H40" s="14"/>
      <c r="I40" s="14"/>
      <c r="J40" s="43"/>
      <c r="K40" s="44"/>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row>
    <row r="41" spans="1:114" s="46" customFormat="1" ht="29.25" customHeight="1">
      <c r="A41" s="255"/>
      <c r="B41" s="280"/>
      <c r="C41" s="116" t="s">
        <v>203</v>
      </c>
      <c r="D41" s="240">
        <v>20</v>
      </c>
      <c r="E41" s="105" t="s">
        <v>202</v>
      </c>
      <c r="F41" s="6"/>
      <c r="G41" s="41"/>
      <c r="H41" s="33"/>
      <c r="I41" s="33"/>
      <c r="J41" s="43"/>
      <c r="K41" s="44"/>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row>
    <row r="42" spans="1:114" s="46" customFormat="1" ht="22.5" customHeight="1">
      <c r="A42" s="153" t="s">
        <v>15</v>
      </c>
      <c r="B42" s="39">
        <f>SUM(B38:B39)</f>
        <v>0</v>
      </c>
      <c r="C42" s="159"/>
      <c r="D42" s="79">
        <f>SUM(D38:D41)</f>
        <v>111671.04</v>
      </c>
      <c r="E42" s="80"/>
      <c r="F42" s="50"/>
      <c r="G42" s="41"/>
      <c r="H42" s="33">
        <f>SUM(H38:H41)</f>
        <v>0</v>
      </c>
      <c r="I42" s="33"/>
      <c r="J42" s="43"/>
      <c r="K42" s="44"/>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row>
    <row r="43" spans="1:11" ht="27.75" customHeight="1">
      <c r="A43" s="254" t="s">
        <v>69</v>
      </c>
      <c r="B43" s="278">
        <f>121.6+203</f>
        <v>324.6</v>
      </c>
      <c r="C43" s="116" t="s">
        <v>203</v>
      </c>
      <c r="D43" s="240">
        <v>18</v>
      </c>
      <c r="E43" s="105" t="s">
        <v>202</v>
      </c>
      <c r="F43" s="6"/>
      <c r="G43" s="32"/>
      <c r="H43" s="14"/>
      <c r="I43" s="14"/>
      <c r="J43" s="36"/>
      <c r="K43" s="47"/>
    </row>
    <row r="44" spans="1:11" ht="21" customHeight="1">
      <c r="A44" s="260"/>
      <c r="B44" s="279"/>
      <c r="C44" s="116" t="s">
        <v>321</v>
      </c>
      <c r="D44" s="59"/>
      <c r="E44" s="105"/>
      <c r="F44" s="6"/>
      <c r="G44" s="32"/>
      <c r="H44" s="14"/>
      <c r="I44" s="14"/>
      <c r="J44" s="36"/>
      <c r="K44" s="47"/>
    </row>
    <row r="45" spans="1:11" ht="27.75" customHeight="1">
      <c r="A45" s="255"/>
      <c r="B45" s="280"/>
      <c r="C45" s="116" t="s">
        <v>208</v>
      </c>
      <c r="D45" s="188">
        <v>24.3</v>
      </c>
      <c r="E45" s="105" t="s">
        <v>87</v>
      </c>
      <c r="F45" s="6"/>
      <c r="G45" s="32"/>
      <c r="H45" s="14"/>
      <c r="I45" s="14"/>
      <c r="J45" s="36"/>
      <c r="K45" s="47"/>
    </row>
    <row r="46" spans="1:114" s="46" customFormat="1" ht="24" customHeight="1">
      <c r="A46" s="160" t="s">
        <v>15</v>
      </c>
      <c r="B46" s="39">
        <f>SUM(B43)</f>
        <v>324.6</v>
      </c>
      <c r="C46" s="159"/>
      <c r="D46" s="23">
        <f>SUM(D43:D45)</f>
        <v>42.3</v>
      </c>
      <c r="E46" s="139"/>
      <c r="F46" s="10"/>
      <c r="G46" s="41"/>
      <c r="H46" s="33">
        <f>SUM(H43:H45)</f>
        <v>0</v>
      </c>
      <c r="I46" s="33"/>
      <c r="J46" s="43"/>
      <c r="K46" s="44"/>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row>
    <row r="47" spans="1:114" s="46" customFormat="1" ht="56.25" customHeight="1">
      <c r="A47" s="254" t="s">
        <v>70</v>
      </c>
      <c r="B47" s="278"/>
      <c r="C47" s="156" t="s">
        <v>358</v>
      </c>
      <c r="D47" s="188">
        <f>55744.63+14616.26</f>
        <v>70360.89</v>
      </c>
      <c r="E47" s="105" t="s">
        <v>87</v>
      </c>
      <c r="F47" s="10"/>
      <c r="G47" s="41"/>
      <c r="H47" s="33"/>
      <c r="I47" s="33"/>
      <c r="J47" s="43"/>
      <c r="K47" s="44"/>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row>
    <row r="48" spans="1:114" s="46" customFormat="1" ht="40.5" customHeight="1">
      <c r="A48" s="260"/>
      <c r="B48" s="279"/>
      <c r="C48" s="158" t="s">
        <v>318</v>
      </c>
      <c r="D48" s="228">
        <v>2000</v>
      </c>
      <c r="E48" s="105" t="s">
        <v>317</v>
      </c>
      <c r="F48" s="10"/>
      <c r="G48" s="41"/>
      <c r="H48" s="33"/>
      <c r="I48" s="33"/>
      <c r="J48" s="43"/>
      <c r="K48" s="44"/>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row>
    <row r="49" spans="1:10" ht="29.25" customHeight="1">
      <c r="A49" s="255"/>
      <c r="B49" s="280"/>
      <c r="C49" s="116" t="s">
        <v>203</v>
      </c>
      <c r="D49" s="240">
        <v>18</v>
      </c>
      <c r="E49" s="105" t="s">
        <v>202</v>
      </c>
      <c r="F49" s="51"/>
      <c r="G49" s="32"/>
      <c r="H49" s="14"/>
      <c r="I49" s="14"/>
      <c r="J49" s="36"/>
    </row>
    <row r="50" spans="1:114" s="46" customFormat="1" ht="27.75" customHeight="1">
      <c r="A50" s="153" t="s">
        <v>15</v>
      </c>
      <c r="B50" s="39">
        <f>SUM(B47:B49)</f>
        <v>0</v>
      </c>
      <c r="C50" s="2"/>
      <c r="D50" s="23">
        <f>SUM(D47:D49)</f>
        <v>72378.89</v>
      </c>
      <c r="E50" s="82"/>
      <c r="F50" s="50"/>
      <c r="G50" s="41"/>
      <c r="H50" s="33">
        <f>SUM(H49:H49)</f>
        <v>0</v>
      </c>
      <c r="I50" s="33"/>
      <c r="J50" s="43"/>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row>
    <row r="51" spans="1:10" ht="81" customHeight="1">
      <c r="A51" s="254" t="s">
        <v>71</v>
      </c>
      <c r="B51" s="278">
        <v>1118</v>
      </c>
      <c r="C51" s="156" t="s">
        <v>357</v>
      </c>
      <c r="D51" s="188">
        <f>80671.88+14616.26</f>
        <v>95288.14</v>
      </c>
      <c r="E51" s="125" t="s">
        <v>87</v>
      </c>
      <c r="F51" s="51"/>
      <c r="G51" s="32"/>
      <c r="H51" s="14"/>
      <c r="I51" s="14"/>
      <c r="J51" s="36"/>
    </row>
    <row r="52" spans="1:10" ht="29.25" customHeight="1">
      <c r="A52" s="260"/>
      <c r="B52" s="279"/>
      <c r="C52" s="116" t="s">
        <v>203</v>
      </c>
      <c r="D52" s="240">
        <v>18</v>
      </c>
      <c r="E52" s="105" t="s">
        <v>202</v>
      </c>
      <c r="F52" s="51"/>
      <c r="G52" s="32"/>
      <c r="H52" s="14"/>
      <c r="I52" s="14"/>
      <c r="J52" s="36"/>
    </row>
    <row r="53" spans="1:10" ht="29.25" customHeight="1">
      <c r="A53" s="260"/>
      <c r="B53" s="279"/>
      <c r="C53" s="116" t="s">
        <v>29</v>
      </c>
      <c r="D53" s="59"/>
      <c r="E53" s="105"/>
      <c r="F53" s="51"/>
      <c r="G53" s="32"/>
      <c r="H53" s="14"/>
      <c r="I53" s="14"/>
      <c r="J53" s="36"/>
    </row>
    <row r="54" spans="1:10" ht="41.25" customHeight="1">
      <c r="A54" s="260"/>
      <c r="B54" s="279"/>
      <c r="C54" s="158" t="s">
        <v>318</v>
      </c>
      <c r="D54" s="228">
        <v>2000</v>
      </c>
      <c r="E54" s="105" t="s">
        <v>317</v>
      </c>
      <c r="F54" s="51"/>
      <c r="G54" s="32"/>
      <c r="H54" s="14"/>
      <c r="I54" s="14"/>
      <c r="J54" s="36"/>
    </row>
    <row r="55" spans="1:10" ht="41.25" customHeight="1">
      <c r="A55" s="255"/>
      <c r="B55" s="280"/>
      <c r="C55" s="149" t="s">
        <v>176</v>
      </c>
      <c r="D55" s="223">
        <f>1952.75+5100+432</f>
        <v>7484.75</v>
      </c>
      <c r="E55" s="105" t="s">
        <v>175</v>
      </c>
      <c r="F55" s="51"/>
      <c r="G55" s="32"/>
      <c r="H55" s="14"/>
      <c r="I55" s="14"/>
      <c r="J55" s="36"/>
    </row>
    <row r="56" spans="1:114" s="46" customFormat="1" ht="27" customHeight="1">
      <c r="A56" s="153" t="s">
        <v>15</v>
      </c>
      <c r="B56" s="39">
        <f>SUM(B51:B52)</f>
        <v>1118</v>
      </c>
      <c r="C56" s="116"/>
      <c r="D56" s="23">
        <f>SUM(D51:D55)</f>
        <v>104790.89</v>
      </c>
      <c r="E56" s="82"/>
      <c r="F56" s="50"/>
      <c r="G56" s="41"/>
      <c r="H56" s="33">
        <f>H51</f>
        <v>0</v>
      </c>
      <c r="I56" s="33"/>
      <c r="J56" s="43"/>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row>
    <row r="57" spans="1:114" s="46" customFormat="1" ht="30" customHeight="1">
      <c r="A57" s="254" t="s">
        <v>7</v>
      </c>
      <c r="B57" s="278"/>
      <c r="C57" s="152" t="s">
        <v>210</v>
      </c>
      <c r="D57" s="188">
        <v>4746.3</v>
      </c>
      <c r="E57" s="105" t="s">
        <v>87</v>
      </c>
      <c r="F57" s="50"/>
      <c r="G57" s="41"/>
      <c r="H57" s="14"/>
      <c r="I57" s="14"/>
      <c r="J57" s="43"/>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row>
    <row r="58" spans="1:10" ht="39" customHeight="1">
      <c r="A58" s="255"/>
      <c r="B58" s="280"/>
      <c r="C58" s="158" t="s">
        <v>318</v>
      </c>
      <c r="D58" s="228">
        <v>1000</v>
      </c>
      <c r="E58" s="105" t="s">
        <v>317</v>
      </c>
      <c r="F58" s="6"/>
      <c r="G58" s="32"/>
      <c r="H58" s="14"/>
      <c r="I58" s="14"/>
      <c r="J58" s="36"/>
    </row>
    <row r="59" spans="1:114" s="46" customFormat="1" ht="23.25" customHeight="1">
      <c r="A59" s="153" t="s">
        <v>15</v>
      </c>
      <c r="B59" s="39">
        <f>SUM(B57)</f>
        <v>0</v>
      </c>
      <c r="C59" s="152"/>
      <c r="D59" s="22">
        <f>SUM(D57:D58)</f>
        <v>5746.3</v>
      </c>
      <c r="E59" s="60"/>
      <c r="F59" s="50"/>
      <c r="G59" s="41"/>
      <c r="H59" s="33">
        <f>SUM(H57:H58)</f>
        <v>0</v>
      </c>
      <c r="I59" s="33"/>
      <c r="J59" s="43"/>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row>
    <row r="60" spans="1:114" s="46" customFormat="1" ht="41.25" customHeight="1">
      <c r="A60" s="254" t="s">
        <v>16</v>
      </c>
      <c r="B60" s="278"/>
      <c r="C60" s="166" t="s">
        <v>364</v>
      </c>
      <c r="D60" s="188">
        <f>24.3+14616.26+2000</f>
        <v>16640.559999999998</v>
      </c>
      <c r="E60" s="105" t="s">
        <v>87</v>
      </c>
      <c r="F60" s="50"/>
      <c r="G60" s="41"/>
      <c r="H60" s="14"/>
      <c r="I60" s="14"/>
      <c r="J60" s="43"/>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row>
    <row r="61" spans="1:10" ht="21.75" customHeight="1">
      <c r="A61" s="255"/>
      <c r="B61" s="280"/>
      <c r="C61" s="159"/>
      <c r="D61" s="78"/>
      <c r="E61" s="59"/>
      <c r="F61" s="6"/>
      <c r="G61" s="32"/>
      <c r="H61" s="14"/>
      <c r="I61" s="14"/>
      <c r="J61" s="36"/>
    </row>
    <row r="62" spans="1:114" s="46" customFormat="1" ht="27.75" customHeight="1">
      <c r="A62" s="153" t="s">
        <v>15</v>
      </c>
      <c r="B62" s="39">
        <f>SUM(B60:B60)</f>
        <v>0</v>
      </c>
      <c r="C62" s="161"/>
      <c r="D62" s="23">
        <f>SUM(D60:D61)</f>
        <v>16640.559999999998</v>
      </c>
      <c r="E62" s="82"/>
      <c r="F62" s="50"/>
      <c r="G62" s="41"/>
      <c r="H62" s="33">
        <f>SUM(H60:H61)</f>
        <v>0</v>
      </c>
      <c r="I62" s="33"/>
      <c r="J62" s="43"/>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row>
    <row r="63" spans="1:114" s="46" customFormat="1" ht="173.25" customHeight="1">
      <c r="A63" s="254" t="s">
        <v>8</v>
      </c>
      <c r="B63" s="278">
        <f>20400+19370+29094</f>
        <v>68864</v>
      </c>
      <c r="C63" s="162" t="s">
        <v>322</v>
      </c>
      <c r="D63" s="60"/>
      <c r="E63" s="59"/>
      <c r="F63" s="50"/>
      <c r="G63" s="41"/>
      <c r="H63" s="33"/>
      <c r="I63" s="33"/>
      <c r="J63" s="43"/>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row>
    <row r="64" spans="1:114" s="46" customFormat="1" ht="92.25" customHeight="1">
      <c r="A64" s="260"/>
      <c r="B64" s="279"/>
      <c r="C64" s="156" t="s">
        <v>359</v>
      </c>
      <c r="D64" s="187">
        <f>75682.87+6315.9+14616.26</f>
        <v>96615.02999999998</v>
      </c>
      <c r="E64" s="105" t="s">
        <v>87</v>
      </c>
      <c r="F64" s="50"/>
      <c r="G64" s="41"/>
      <c r="H64" s="33"/>
      <c r="I64" s="33"/>
      <c r="J64" s="43"/>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row>
    <row r="65" spans="1:114" s="46" customFormat="1" ht="27" customHeight="1">
      <c r="A65" s="260"/>
      <c r="B65" s="279"/>
      <c r="C65" s="116" t="s">
        <v>203</v>
      </c>
      <c r="D65" s="240">
        <v>18</v>
      </c>
      <c r="E65" s="105" t="s">
        <v>202</v>
      </c>
      <c r="F65" s="50"/>
      <c r="G65" s="41"/>
      <c r="H65" s="33"/>
      <c r="I65" s="33"/>
      <c r="J65" s="43"/>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row>
    <row r="66" spans="1:114" s="46" customFormat="1" ht="34.5" customHeight="1">
      <c r="A66" s="260"/>
      <c r="B66" s="279"/>
      <c r="C66" s="161" t="s">
        <v>197</v>
      </c>
      <c r="D66" s="235">
        <v>33992.14</v>
      </c>
      <c r="E66" s="105" t="s">
        <v>257</v>
      </c>
      <c r="F66" s="50"/>
      <c r="G66" s="41"/>
      <c r="H66" s="33"/>
      <c r="I66" s="33"/>
      <c r="J66" s="43"/>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row>
    <row r="67" spans="1:114" s="46" customFormat="1" ht="40.5" customHeight="1">
      <c r="A67" s="260"/>
      <c r="B67" s="279"/>
      <c r="C67" s="158" t="s">
        <v>318</v>
      </c>
      <c r="D67" s="228">
        <v>2000</v>
      </c>
      <c r="E67" s="105" t="s">
        <v>317</v>
      </c>
      <c r="F67" s="50"/>
      <c r="G67" s="41"/>
      <c r="H67" s="33"/>
      <c r="I67" s="33"/>
      <c r="J67" s="43"/>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row>
    <row r="68" spans="1:10" ht="36.75" customHeight="1">
      <c r="A68" s="255"/>
      <c r="B68" s="280"/>
      <c r="C68" s="149" t="s">
        <v>176</v>
      </c>
      <c r="D68" s="223">
        <f>1825+4080+384</f>
        <v>6289</v>
      </c>
      <c r="E68" s="105" t="s">
        <v>175</v>
      </c>
      <c r="F68" s="5"/>
      <c r="G68" s="32"/>
      <c r="H68" s="14"/>
      <c r="I68" s="14"/>
      <c r="J68" s="36"/>
    </row>
    <row r="69" spans="1:114" s="46" customFormat="1" ht="31.5" customHeight="1">
      <c r="A69" s="153" t="s">
        <v>15</v>
      </c>
      <c r="B69" s="39">
        <f>SUM(B63)</f>
        <v>68864</v>
      </c>
      <c r="C69" s="152"/>
      <c r="D69" s="22">
        <f>SUM(D63:D68)</f>
        <v>138914.16999999998</v>
      </c>
      <c r="E69" s="82"/>
      <c r="F69" s="50"/>
      <c r="G69" s="41"/>
      <c r="H69" s="33">
        <f>SUM(H64:H68)</f>
        <v>0</v>
      </c>
      <c r="I69" s="33"/>
      <c r="J69" s="43"/>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row>
    <row r="70" spans="1:114" s="46" customFormat="1" ht="31.5" customHeight="1">
      <c r="A70" s="254" t="s">
        <v>9</v>
      </c>
      <c r="B70" s="278">
        <f>8000+500</f>
        <v>8500</v>
      </c>
      <c r="C70" s="154" t="s">
        <v>323</v>
      </c>
      <c r="D70" s="59"/>
      <c r="E70" s="74"/>
      <c r="F70" s="50"/>
      <c r="G70" s="41"/>
      <c r="H70" s="33"/>
      <c r="I70" s="33"/>
      <c r="J70" s="43"/>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row>
    <row r="71" spans="1:10" ht="48.75" customHeight="1">
      <c r="A71" s="255"/>
      <c r="B71" s="280"/>
      <c r="C71" s="156" t="s">
        <v>365</v>
      </c>
      <c r="D71" s="188">
        <f>9468.3+14616.26+2000</f>
        <v>26084.559999999998</v>
      </c>
      <c r="E71" s="105" t="s">
        <v>87</v>
      </c>
      <c r="F71" s="5"/>
      <c r="G71" s="32"/>
      <c r="H71" s="12"/>
      <c r="I71" s="14"/>
      <c r="J71" s="36"/>
    </row>
    <row r="72" spans="1:114" s="46" customFormat="1" ht="19.5" customHeight="1">
      <c r="A72" s="153" t="s">
        <v>15</v>
      </c>
      <c r="B72" s="39">
        <f>B70</f>
        <v>8500</v>
      </c>
      <c r="C72" s="159"/>
      <c r="D72" s="22">
        <f>SUM(D70:D71)</f>
        <v>26084.559999999998</v>
      </c>
      <c r="E72" s="82"/>
      <c r="F72" s="50">
        <f>F71</f>
        <v>0</v>
      </c>
      <c r="G72" s="41"/>
      <c r="H72" s="33">
        <f>SUM(H70:H71)</f>
        <v>0</v>
      </c>
      <c r="I72" s="33"/>
      <c r="J72" s="43"/>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row>
    <row r="73" spans="1:114" s="46" customFormat="1" ht="32.25" customHeight="1">
      <c r="A73" s="254" t="s">
        <v>10</v>
      </c>
      <c r="B73" s="278"/>
      <c r="C73" s="156" t="s">
        <v>361</v>
      </c>
      <c r="D73" s="188">
        <f>4746.3+14616.26</f>
        <v>19362.56</v>
      </c>
      <c r="E73" s="105" t="s">
        <v>87</v>
      </c>
      <c r="F73" s="50"/>
      <c r="G73" s="41"/>
      <c r="H73" s="33"/>
      <c r="I73" s="33"/>
      <c r="J73" s="43"/>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row>
    <row r="74" spans="1:114" s="46" customFormat="1" ht="39" customHeight="1">
      <c r="A74" s="260"/>
      <c r="B74" s="279"/>
      <c r="C74" s="158" t="s">
        <v>318</v>
      </c>
      <c r="D74" s="228">
        <v>1500</v>
      </c>
      <c r="E74" s="105" t="s">
        <v>317</v>
      </c>
      <c r="F74" s="50"/>
      <c r="G74" s="41"/>
      <c r="H74" s="33"/>
      <c r="I74" s="33"/>
      <c r="J74" s="43"/>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row>
    <row r="75" spans="1:10" ht="48" customHeight="1">
      <c r="A75" s="255"/>
      <c r="B75" s="280"/>
      <c r="C75" s="116" t="s">
        <v>266</v>
      </c>
      <c r="D75" s="224">
        <v>2160.6</v>
      </c>
      <c r="E75" s="122" t="s">
        <v>175</v>
      </c>
      <c r="F75" s="5"/>
      <c r="G75" s="32"/>
      <c r="H75" s="14"/>
      <c r="I75" s="14"/>
      <c r="J75" s="36"/>
    </row>
    <row r="76" spans="1:114" s="46" customFormat="1" ht="21.75" customHeight="1">
      <c r="A76" s="153" t="s">
        <v>15</v>
      </c>
      <c r="B76" s="39">
        <f>SUM(B73:B73)</f>
        <v>0</v>
      </c>
      <c r="C76" s="152"/>
      <c r="D76" s="22">
        <f>SUM(D73:D75)</f>
        <v>23023.16</v>
      </c>
      <c r="E76" s="60"/>
      <c r="F76" s="50"/>
      <c r="G76" s="41"/>
      <c r="H76" s="33">
        <f>SUM(H73:H75)</f>
        <v>0</v>
      </c>
      <c r="I76" s="33"/>
      <c r="J76" s="43"/>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row>
    <row r="77" spans="1:114" s="46" customFormat="1" ht="26.25" customHeight="1">
      <c r="A77" s="254" t="s">
        <v>11</v>
      </c>
      <c r="B77" s="278"/>
      <c r="C77" s="156" t="s">
        <v>362</v>
      </c>
      <c r="D77" s="188">
        <f>24.3+14616.26</f>
        <v>14640.56</v>
      </c>
      <c r="E77" s="105" t="s">
        <v>87</v>
      </c>
      <c r="F77" s="5"/>
      <c r="G77" s="32"/>
      <c r="H77" s="14"/>
      <c r="I77" s="14"/>
      <c r="J77" s="43"/>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row>
    <row r="78" spans="1:10" ht="37.5" customHeight="1">
      <c r="A78" s="255"/>
      <c r="B78" s="280"/>
      <c r="C78" s="158" t="s">
        <v>318</v>
      </c>
      <c r="D78" s="228">
        <v>1000</v>
      </c>
      <c r="E78" s="105" t="s">
        <v>317</v>
      </c>
      <c r="F78" s="5"/>
      <c r="G78" s="32"/>
      <c r="H78" s="14"/>
      <c r="I78" s="14"/>
      <c r="J78" s="36"/>
    </row>
    <row r="79" spans="1:114" s="46" customFormat="1" ht="23.25" customHeight="1">
      <c r="A79" s="153" t="s">
        <v>15</v>
      </c>
      <c r="B79" s="52">
        <f>SUM(B77:B77)</f>
        <v>0</v>
      </c>
      <c r="C79" s="116"/>
      <c r="D79" s="22">
        <f>SUM(D77:D78)</f>
        <v>15640.56</v>
      </c>
      <c r="E79" s="60"/>
      <c r="F79" s="50">
        <f>F78+F77</f>
        <v>0</v>
      </c>
      <c r="G79" s="41"/>
      <c r="H79" s="33">
        <f>SUM(H77:H78)</f>
        <v>0</v>
      </c>
      <c r="I79" s="33"/>
      <c r="J79" s="43"/>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row>
    <row r="80" spans="1:114" s="46" customFormat="1" ht="28.5" customHeight="1">
      <c r="A80" s="254" t="s">
        <v>12</v>
      </c>
      <c r="B80" s="278"/>
      <c r="C80" s="152" t="s">
        <v>211</v>
      </c>
      <c r="D80" s="188">
        <v>24.3</v>
      </c>
      <c r="E80" s="105" t="s">
        <v>87</v>
      </c>
      <c r="F80" s="50"/>
      <c r="G80" s="41"/>
      <c r="H80" s="33"/>
      <c r="I80" s="33"/>
      <c r="J80" s="43"/>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row>
    <row r="81" spans="1:10" ht="35.25" customHeight="1">
      <c r="A81" s="255"/>
      <c r="B81" s="280"/>
      <c r="C81" s="158" t="s">
        <v>318</v>
      </c>
      <c r="D81" s="228">
        <v>1000</v>
      </c>
      <c r="E81" s="105" t="s">
        <v>317</v>
      </c>
      <c r="F81" s="5"/>
      <c r="G81" s="32"/>
      <c r="H81" s="14"/>
      <c r="I81" s="14"/>
      <c r="J81" s="36"/>
    </row>
    <row r="82" spans="1:114" s="46" customFormat="1" ht="24.75" customHeight="1">
      <c r="A82" s="153" t="s">
        <v>15</v>
      </c>
      <c r="B82" s="39">
        <f>SUM(B80:B80)</f>
        <v>0</v>
      </c>
      <c r="C82" s="116"/>
      <c r="D82" s="22">
        <f>SUM(D80:D81)</f>
        <v>1024.3</v>
      </c>
      <c r="E82" s="82"/>
      <c r="F82" s="50"/>
      <c r="G82" s="41"/>
      <c r="H82" s="33">
        <f>SUM(H80:H81)</f>
        <v>0</v>
      </c>
      <c r="I82" s="33"/>
      <c r="J82" s="43"/>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row>
    <row r="83" spans="1:114" s="46" customFormat="1" ht="83.25" customHeight="1">
      <c r="A83" s="254" t="s">
        <v>13</v>
      </c>
      <c r="B83" s="278"/>
      <c r="C83" s="152" t="s">
        <v>201</v>
      </c>
      <c r="D83" s="187">
        <v>65980.76</v>
      </c>
      <c r="E83" s="105" t="s">
        <v>87</v>
      </c>
      <c r="F83" s="50"/>
      <c r="G83" s="41"/>
      <c r="H83" s="14"/>
      <c r="I83" s="14"/>
      <c r="J83" s="43"/>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row>
    <row r="84" spans="1:114" s="46" customFormat="1" ht="41.25" customHeight="1">
      <c r="A84" s="260"/>
      <c r="B84" s="279"/>
      <c r="C84" s="158" t="s">
        <v>318</v>
      </c>
      <c r="D84" s="228">
        <v>1000</v>
      </c>
      <c r="E84" s="105" t="s">
        <v>317</v>
      </c>
      <c r="F84" s="50"/>
      <c r="G84" s="41"/>
      <c r="H84" s="14"/>
      <c r="I84" s="14"/>
      <c r="J84" s="43"/>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row>
    <row r="85" spans="1:114" s="46" customFormat="1" ht="33.75" customHeight="1">
      <c r="A85" s="260"/>
      <c r="B85" s="279"/>
      <c r="C85" s="116" t="s">
        <v>203</v>
      </c>
      <c r="D85" s="240">
        <v>18</v>
      </c>
      <c r="E85" s="105" t="s">
        <v>202</v>
      </c>
      <c r="F85" s="50"/>
      <c r="G85" s="41"/>
      <c r="H85" s="14"/>
      <c r="I85" s="14"/>
      <c r="J85" s="43"/>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row>
    <row r="86" spans="1:10" ht="37.5" customHeight="1">
      <c r="A86" s="255"/>
      <c r="B86" s="280"/>
      <c r="C86" s="149" t="s">
        <v>176</v>
      </c>
      <c r="D86" s="223">
        <f>1733.75+4080+432</f>
        <v>6245.75</v>
      </c>
      <c r="E86" s="105" t="s">
        <v>175</v>
      </c>
      <c r="F86" s="5"/>
      <c r="G86" s="32"/>
      <c r="H86" s="14"/>
      <c r="I86" s="14"/>
      <c r="J86" s="36"/>
    </row>
    <row r="87" spans="1:10" ht="21.75" customHeight="1">
      <c r="A87" s="153" t="s">
        <v>15</v>
      </c>
      <c r="B87" s="39">
        <f>SUM(B83:B83)</f>
        <v>0</v>
      </c>
      <c r="C87" s="116"/>
      <c r="D87" s="22">
        <f>SUM(D83:D86)</f>
        <v>73244.51</v>
      </c>
      <c r="E87" s="82"/>
      <c r="F87" s="50">
        <f>F86</f>
        <v>0</v>
      </c>
      <c r="G87" s="32"/>
      <c r="H87" s="33">
        <f>SUM(H83:H86)</f>
        <v>0</v>
      </c>
      <c r="I87" s="14"/>
      <c r="J87" s="36"/>
    </row>
    <row r="88" spans="1:10" s="56" customFormat="1" ht="27" customHeight="1">
      <c r="A88" s="258" t="s">
        <v>83</v>
      </c>
      <c r="B88" s="278">
        <f>2866+8420</f>
        <v>11286</v>
      </c>
      <c r="C88" s="116" t="s">
        <v>203</v>
      </c>
      <c r="D88" s="240">
        <v>18</v>
      </c>
      <c r="E88" s="105" t="s">
        <v>202</v>
      </c>
      <c r="F88" s="54"/>
      <c r="G88" s="4"/>
      <c r="H88" s="10"/>
      <c r="I88" s="11"/>
      <c r="J88" s="55"/>
    </row>
    <row r="89" spans="1:10" s="56" customFormat="1" ht="118.5" customHeight="1">
      <c r="A89" s="263"/>
      <c r="B89" s="279"/>
      <c r="C89" s="158" t="s">
        <v>259</v>
      </c>
      <c r="D89" s="59"/>
      <c r="E89" s="105"/>
      <c r="F89" s="54"/>
      <c r="G89" s="4"/>
      <c r="H89" s="10"/>
      <c r="I89" s="11"/>
      <c r="J89" s="55"/>
    </row>
    <row r="90" spans="1:10" s="56" customFormat="1" ht="39.75" customHeight="1">
      <c r="A90" s="263"/>
      <c r="B90" s="279"/>
      <c r="C90" s="158" t="s">
        <v>318</v>
      </c>
      <c r="D90" s="228">
        <v>1500</v>
      </c>
      <c r="E90" s="105" t="s">
        <v>317</v>
      </c>
      <c r="F90" s="54"/>
      <c r="G90" s="4"/>
      <c r="H90" s="10"/>
      <c r="I90" s="11"/>
      <c r="J90" s="55"/>
    </row>
    <row r="91" spans="1:10" ht="44.25" customHeight="1">
      <c r="A91" s="259"/>
      <c r="B91" s="280"/>
      <c r="C91" s="156" t="s">
        <v>360</v>
      </c>
      <c r="D91" s="188">
        <f>4746.3+11751.2+14616.26</f>
        <v>31113.760000000002</v>
      </c>
      <c r="E91" s="105" t="s">
        <v>87</v>
      </c>
      <c r="F91" s="5"/>
      <c r="G91" s="32"/>
      <c r="H91" s="14"/>
      <c r="I91" s="14"/>
      <c r="J91" s="43"/>
    </row>
    <row r="92" spans="1:114" s="46" customFormat="1" ht="18" customHeight="1">
      <c r="A92" s="153" t="s">
        <v>15</v>
      </c>
      <c r="B92" s="39">
        <f>SUM(B88:B88)</f>
        <v>11286</v>
      </c>
      <c r="C92" s="116"/>
      <c r="D92" s="22">
        <f>SUM(D88:D91)</f>
        <v>32631.760000000002</v>
      </c>
      <c r="E92" s="23"/>
      <c r="F92" s="50">
        <f>F91</f>
        <v>0</v>
      </c>
      <c r="G92" s="41"/>
      <c r="H92" s="9">
        <f>SUM(H88:H91)</f>
        <v>0</v>
      </c>
      <c r="I92" s="33"/>
      <c r="J92" s="43"/>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row>
    <row r="93" spans="1:114" s="46" customFormat="1" ht="39" customHeight="1">
      <c r="A93" s="258" t="s">
        <v>82</v>
      </c>
      <c r="B93" s="278"/>
      <c r="C93" s="156" t="s">
        <v>368</v>
      </c>
      <c r="D93" s="188">
        <f>4746.3+79120+14616.26</f>
        <v>98482.56</v>
      </c>
      <c r="E93" s="105" t="s">
        <v>87</v>
      </c>
      <c r="F93" s="50"/>
      <c r="G93" s="41"/>
      <c r="H93" s="14"/>
      <c r="I93" s="14"/>
      <c r="J93" s="43"/>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row>
    <row r="94" spans="1:11" ht="43.5" customHeight="1">
      <c r="A94" s="259"/>
      <c r="B94" s="280"/>
      <c r="C94" s="158" t="s">
        <v>367</v>
      </c>
      <c r="D94" s="228">
        <f>1000</f>
        <v>1000</v>
      </c>
      <c r="E94" s="105" t="s">
        <v>317</v>
      </c>
      <c r="F94" s="5"/>
      <c r="G94" s="32"/>
      <c r="H94" s="33"/>
      <c r="I94" s="33"/>
      <c r="J94" s="43"/>
      <c r="K94" s="47">
        <f>D94+D90+D84+D81+D78+D74+D67+D58+D54+D48+D40+D35+D27+D19+D14</f>
        <v>20000</v>
      </c>
    </row>
    <row r="95" spans="1:114" s="46" customFormat="1" ht="30.75" customHeight="1">
      <c r="A95" s="153" t="s">
        <v>15</v>
      </c>
      <c r="B95" s="39">
        <f>SUM(B93:B93)</f>
        <v>0</v>
      </c>
      <c r="C95" s="116"/>
      <c r="D95" s="22">
        <f>SUM(D93:D94)</f>
        <v>99482.56</v>
      </c>
      <c r="E95" s="23"/>
      <c r="F95" s="50">
        <f>F94</f>
        <v>0</v>
      </c>
      <c r="G95" s="41"/>
      <c r="H95" s="33">
        <f>SUM(H93:H94)</f>
        <v>0</v>
      </c>
      <c r="I95" s="33"/>
      <c r="J95" s="43"/>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row>
    <row r="96" spans="1:114" s="46" customFormat="1" ht="30.75" customHeight="1">
      <c r="A96" s="163" t="s">
        <v>44</v>
      </c>
      <c r="B96" s="22">
        <f>B95+B92+B87+B82+B79+B76+B72+B69+B62+B59+B56+B50+B46+B42+B37+B32+B29+B22+B16</f>
        <v>106341</v>
      </c>
      <c r="C96" s="3"/>
      <c r="D96" s="22">
        <f>D95+D92+D87+D82+D79+D76+D72+D69+D62+D59+D56+D50+D46+D42+D37+D32+D29+D22+D16</f>
        <v>1086475.34</v>
      </c>
      <c r="E96" s="23"/>
      <c r="F96" s="22">
        <f>F95+F92+F87+F82+F79+F76+F72+F69+F62+F59+F56+F50+F46+F42+F37+F32+F29+F22+F16</f>
        <v>0</v>
      </c>
      <c r="G96" s="4"/>
      <c r="H96" s="22">
        <f>H95+H92+H87+H82+H79+H76+H72+H69+H62+H59+H56+H50+H46+H42+H37+H32+H29+H22+H16</f>
        <v>0</v>
      </c>
      <c r="I96" s="120"/>
      <c r="J96" s="43"/>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row>
    <row r="97" spans="1:114" s="46" customFormat="1" ht="284.25" customHeight="1">
      <c r="A97" s="254" t="s">
        <v>72</v>
      </c>
      <c r="B97" s="278">
        <f>115+1800</f>
        <v>1915</v>
      </c>
      <c r="C97" s="156" t="s">
        <v>327</v>
      </c>
      <c r="D97" s="184">
        <f>448611.18+10526.5+15338.52+15646.78+6529.45+46571.9+3267.09</f>
        <v>546491.42</v>
      </c>
      <c r="E97" s="105" t="s">
        <v>87</v>
      </c>
      <c r="F97" s="118"/>
      <c r="G97" s="119"/>
      <c r="H97" s="33"/>
      <c r="I97" s="120"/>
      <c r="J97" s="43"/>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row>
    <row r="98" spans="1:114" s="46" customFormat="1" ht="124.5" customHeight="1">
      <c r="A98" s="260"/>
      <c r="B98" s="279"/>
      <c r="C98" s="156" t="s">
        <v>90</v>
      </c>
      <c r="D98" s="198">
        <v>151722</v>
      </c>
      <c r="E98" s="105" t="s">
        <v>80</v>
      </c>
      <c r="F98" s="118"/>
      <c r="G98" s="119"/>
      <c r="H98" s="33"/>
      <c r="I98" s="120"/>
      <c r="J98" s="43"/>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row>
    <row r="99" spans="1:114" s="46" customFormat="1" ht="28.5" customHeight="1">
      <c r="A99" s="260"/>
      <c r="B99" s="279"/>
      <c r="C99" s="162" t="s">
        <v>81</v>
      </c>
      <c r="D99" s="202">
        <f>673.92</f>
        <v>673.92</v>
      </c>
      <c r="E99" s="105" t="s">
        <v>91</v>
      </c>
      <c r="F99" s="118"/>
      <c r="G99" s="119"/>
      <c r="H99" s="33"/>
      <c r="I99" s="120"/>
      <c r="J99" s="43"/>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row>
    <row r="100" spans="1:114" s="46" customFormat="1" ht="36.75" customHeight="1">
      <c r="A100" s="260"/>
      <c r="B100" s="279"/>
      <c r="C100" s="128" t="s">
        <v>81</v>
      </c>
      <c r="D100" s="203">
        <v>1280.45</v>
      </c>
      <c r="E100" s="59" t="s">
        <v>92</v>
      </c>
      <c r="F100" s="118"/>
      <c r="G100" s="119"/>
      <c r="H100" s="33"/>
      <c r="I100" s="120"/>
      <c r="J100" s="43"/>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row>
    <row r="101" spans="1:114" s="46" customFormat="1" ht="45.75" customHeight="1">
      <c r="A101" s="260"/>
      <c r="B101" s="279"/>
      <c r="C101" s="146" t="s">
        <v>150</v>
      </c>
      <c r="D101" s="191">
        <f>240+10525+10943</f>
        <v>21708</v>
      </c>
      <c r="E101" s="106" t="s">
        <v>131</v>
      </c>
      <c r="F101" s="5"/>
      <c r="G101" s="14"/>
      <c r="H101" s="12"/>
      <c r="I101" s="15"/>
      <c r="J101" s="43"/>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row>
    <row r="102" spans="1:114" s="46" customFormat="1" ht="173.25" customHeight="1">
      <c r="A102" s="260"/>
      <c r="B102" s="279"/>
      <c r="C102" s="146" t="s">
        <v>133</v>
      </c>
      <c r="D102" s="205">
        <f>57558.22+112102.29+36683.7</f>
        <v>206344.21000000002</v>
      </c>
      <c r="E102" s="106" t="s">
        <v>132</v>
      </c>
      <c r="F102" s="5"/>
      <c r="G102" s="14"/>
      <c r="H102" s="12"/>
      <c r="I102" s="15"/>
      <c r="J102" s="43"/>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row>
    <row r="103" spans="1:114" s="46" customFormat="1" ht="30.75" customHeight="1">
      <c r="A103" s="260"/>
      <c r="B103" s="279"/>
      <c r="C103" s="146" t="s">
        <v>291</v>
      </c>
      <c r="D103" s="109"/>
      <c r="E103" s="106"/>
      <c r="F103" s="5"/>
      <c r="G103" s="14"/>
      <c r="H103" s="12"/>
      <c r="I103" s="15"/>
      <c r="J103" s="43"/>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row>
    <row r="104" spans="1:114" s="46" customFormat="1" ht="18.75" customHeight="1">
      <c r="A104" s="260"/>
      <c r="B104" s="279"/>
      <c r="C104" s="21" t="s">
        <v>85</v>
      </c>
      <c r="D104" s="245">
        <v>9192.75</v>
      </c>
      <c r="E104" s="125" t="s">
        <v>86</v>
      </c>
      <c r="F104" s="5"/>
      <c r="G104" s="14"/>
      <c r="H104" s="12"/>
      <c r="I104" s="15"/>
      <c r="J104" s="43"/>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row>
    <row r="105" spans="1:114" s="46" customFormat="1" ht="35.25" customHeight="1">
      <c r="A105" s="260"/>
      <c r="B105" s="279"/>
      <c r="C105" s="21" t="s">
        <v>292</v>
      </c>
      <c r="D105" s="245">
        <v>113811</v>
      </c>
      <c r="E105" s="105" t="s">
        <v>293</v>
      </c>
      <c r="F105" s="5"/>
      <c r="G105" s="14"/>
      <c r="H105" s="12"/>
      <c r="I105" s="15"/>
      <c r="J105" s="43"/>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row>
    <row r="106" spans="1:114" s="46" customFormat="1" ht="27.75" customHeight="1">
      <c r="A106" s="260"/>
      <c r="B106" s="279"/>
      <c r="C106" s="146" t="s">
        <v>254</v>
      </c>
      <c r="D106" s="229">
        <f>4880+5083.23</f>
        <v>9963.23</v>
      </c>
      <c r="E106" s="106" t="s">
        <v>198</v>
      </c>
      <c r="F106" s="5"/>
      <c r="G106" s="14"/>
      <c r="H106" s="12"/>
      <c r="I106" s="15"/>
      <c r="J106" s="43"/>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row>
    <row r="107" spans="1:114" s="46" customFormat="1" ht="38.25" customHeight="1">
      <c r="A107" s="255"/>
      <c r="B107" s="280"/>
      <c r="C107" s="146" t="s">
        <v>149</v>
      </c>
      <c r="D107" s="215">
        <f>234344+134230.34</f>
        <v>368574.33999999997</v>
      </c>
      <c r="E107" s="106" t="s">
        <v>148</v>
      </c>
      <c r="F107" s="5"/>
      <c r="G107" s="14"/>
      <c r="H107" s="12"/>
      <c r="I107" s="15"/>
      <c r="J107" s="43"/>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row>
    <row r="108" spans="1:114" s="46" customFormat="1" ht="27.75" customHeight="1">
      <c r="A108" s="153" t="s">
        <v>15</v>
      </c>
      <c r="B108" s="39">
        <f>B97</f>
        <v>1915</v>
      </c>
      <c r="C108" s="2"/>
      <c r="D108" s="22">
        <f>SUM(D97:D107)</f>
        <v>1429761.3199999998</v>
      </c>
      <c r="E108" s="23"/>
      <c r="F108" s="50">
        <f>F107</f>
        <v>0</v>
      </c>
      <c r="G108" s="41"/>
      <c r="H108" s="9">
        <f>SUM(H101:H107)</f>
        <v>0</v>
      </c>
      <c r="I108" s="33"/>
      <c r="J108" s="43"/>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row>
    <row r="109" spans="1:114" s="46" customFormat="1" ht="48.75" customHeight="1">
      <c r="A109" s="254" t="s">
        <v>28</v>
      </c>
      <c r="B109" s="278"/>
      <c r="C109" s="21" t="s">
        <v>152</v>
      </c>
      <c r="D109" s="218">
        <v>450053.76</v>
      </c>
      <c r="E109" s="132" t="s">
        <v>151</v>
      </c>
      <c r="F109" s="288"/>
      <c r="G109" s="268"/>
      <c r="H109" s="9"/>
      <c r="I109" s="33"/>
      <c r="J109" s="43"/>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row>
    <row r="110" spans="1:114" s="46" customFormat="1" ht="25.5" customHeight="1">
      <c r="A110" s="260"/>
      <c r="B110" s="279"/>
      <c r="C110" s="21" t="s">
        <v>85</v>
      </c>
      <c r="D110" s="245">
        <v>36771</v>
      </c>
      <c r="E110" s="125" t="s">
        <v>86</v>
      </c>
      <c r="F110" s="289"/>
      <c r="G110" s="271"/>
      <c r="H110" s="9"/>
      <c r="I110" s="33"/>
      <c r="J110" s="43"/>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row>
    <row r="111" spans="1:114" s="46" customFormat="1" ht="31.5" customHeight="1">
      <c r="A111" s="260"/>
      <c r="B111" s="279"/>
      <c r="C111" s="176" t="s">
        <v>254</v>
      </c>
      <c r="D111" s="230">
        <f>6100+5083.23</f>
        <v>11183.23</v>
      </c>
      <c r="E111" s="102" t="s">
        <v>198</v>
      </c>
      <c r="F111" s="289"/>
      <c r="G111" s="271"/>
      <c r="H111" s="9"/>
      <c r="I111" s="33"/>
      <c r="J111" s="43"/>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row>
    <row r="112" spans="1:114" s="46" customFormat="1" ht="45.75" customHeight="1">
      <c r="A112" s="260"/>
      <c r="B112" s="279"/>
      <c r="C112" s="183" t="s">
        <v>326</v>
      </c>
      <c r="D112" s="187">
        <f>223908.3+27943.14</f>
        <v>251851.44</v>
      </c>
      <c r="E112" s="105" t="s">
        <v>87</v>
      </c>
      <c r="F112" s="289"/>
      <c r="G112" s="271"/>
      <c r="H112" s="14"/>
      <c r="I112" s="14"/>
      <c r="J112" s="43"/>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row>
    <row r="113" spans="1:9" ht="2.25" customHeight="1" hidden="1">
      <c r="A113" s="255"/>
      <c r="B113" s="280"/>
      <c r="C113" s="114"/>
      <c r="D113" s="59"/>
      <c r="E113" s="83"/>
      <c r="F113" s="290"/>
      <c r="G113" s="269"/>
      <c r="H113" s="57"/>
      <c r="I113" s="14"/>
    </row>
    <row r="114" spans="1:114" s="46" customFormat="1" ht="19.5" customHeight="1">
      <c r="A114" s="153" t="s">
        <v>15</v>
      </c>
      <c r="B114" s="39">
        <f>SUM(B109:B109)</f>
        <v>0</v>
      </c>
      <c r="C114" s="2"/>
      <c r="D114" s="101">
        <f>SUM(D109:D113)</f>
        <v>749859.4299999999</v>
      </c>
      <c r="E114" s="84"/>
      <c r="F114" s="50">
        <f>F109</f>
        <v>0</v>
      </c>
      <c r="G114" s="41"/>
      <c r="H114" s="8">
        <f>SUM(H112:H113)</f>
        <v>0</v>
      </c>
      <c r="I114" s="33"/>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row>
    <row r="115" spans="1:114" s="46" customFormat="1" ht="172.5" customHeight="1">
      <c r="A115" s="254" t="s">
        <v>55</v>
      </c>
      <c r="B115" s="278">
        <v>7999</v>
      </c>
      <c r="C115" s="156" t="s">
        <v>328</v>
      </c>
      <c r="D115" s="187">
        <f>277643.43+38761.2+1023.96+7669.26+3964.95+9215.62+6529.45+37257.52+4361.89</f>
        <v>386427.2800000001</v>
      </c>
      <c r="E115" s="105" t="s">
        <v>87</v>
      </c>
      <c r="F115" s="288"/>
      <c r="G115" s="268"/>
      <c r="H115" s="8"/>
      <c r="I115" s="33"/>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row>
    <row r="116" spans="1:114" s="46" customFormat="1" ht="20.25" customHeight="1">
      <c r="A116" s="260"/>
      <c r="B116" s="279"/>
      <c r="C116" s="156" t="s">
        <v>295</v>
      </c>
      <c r="D116" s="59"/>
      <c r="E116" s="105"/>
      <c r="F116" s="289"/>
      <c r="G116" s="271"/>
      <c r="H116" s="8"/>
      <c r="I116" s="33"/>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row>
    <row r="117" spans="1:114" s="46" customFormat="1" ht="26.25" customHeight="1">
      <c r="A117" s="260"/>
      <c r="B117" s="279"/>
      <c r="C117" s="21" t="s">
        <v>85</v>
      </c>
      <c r="D117" s="245">
        <v>27578.25</v>
      </c>
      <c r="E117" s="125" t="s">
        <v>86</v>
      </c>
      <c r="F117" s="289"/>
      <c r="G117" s="271"/>
      <c r="H117" s="8"/>
      <c r="I117" s="33"/>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row>
    <row r="118" spans="1:114" s="46" customFormat="1" ht="33.75" customHeight="1">
      <c r="A118" s="255"/>
      <c r="B118" s="280"/>
      <c r="C118" s="114" t="s">
        <v>254</v>
      </c>
      <c r="D118" s="228">
        <f>2440+5083.23</f>
        <v>7523.23</v>
      </c>
      <c r="E118" s="102" t="s">
        <v>198</v>
      </c>
      <c r="F118" s="290"/>
      <c r="G118" s="269"/>
      <c r="H118" s="58"/>
      <c r="I118" s="58"/>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row>
    <row r="119" spans="1:114" s="46" customFormat="1" ht="26.25" customHeight="1">
      <c r="A119" s="153" t="s">
        <v>15</v>
      </c>
      <c r="B119" s="39">
        <f>SUM(B115:B118)</f>
        <v>7999</v>
      </c>
      <c r="C119" s="3"/>
      <c r="D119" s="23">
        <f>SUM(D115:D118)</f>
        <v>421528.76000000007</v>
      </c>
      <c r="E119" s="23"/>
      <c r="F119" s="10">
        <f>F115</f>
        <v>0</v>
      </c>
      <c r="G119" s="41"/>
      <c r="H119" s="8">
        <f>SUM(H115:H118)</f>
        <v>0</v>
      </c>
      <c r="I119" s="33"/>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row>
    <row r="120" spans="1:114" s="46" customFormat="1" ht="199.5" customHeight="1">
      <c r="A120" s="254" t="s">
        <v>54</v>
      </c>
      <c r="B120" s="284"/>
      <c r="C120" s="128" t="s">
        <v>329</v>
      </c>
      <c r="D120" s="188">
        <f>235420.3+12631.8+16190.66+6678.68+6529.45+9314.38+3267.09</f>
        <v>290032.36</v>
      </c>
      <c r="E120" s="105" t="s">
        <v>87</v>
      </c>
      <c r="F120" s="266"/>
      <c r="G120" s="268"/>
      <c r="H120" s="57"/>
      <c r="I120" s="14"/>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row>
    <row r="121" spans="1:114" s="46" customFormat="1" ht="23.25" customHeight="1">
      <c r="A121" s="260"/>
      <c r="B121" s="285"/>
      <c r="C121" s="136" t="s">
        <v>134</v>
      </c>
      <c r="D121" s="211">
        <v>4320</v>
      </c>
      <c r="E121" s="117" t="s">
        <v>136</v>
      </c>
      <c r="F121" s="270"/>
      <c r="G121" s="271"/>
      <c r="H121" s="57"/>
      <c r="I121" s="14"/>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row>
    <row r="122" spans="1:114" s="46" customFormat="1" ht="33" customHeight="1">
      <c r="A122" s="260"/>
      <c r="B122" s="285"/>
      <c r="C122" s="136" t="s">
        <v>254</v>
      </c>
      <c r="D122" s="229">
        <f>4270+5083.23</f>
        <v>9353.23</v>
      </c>
      <c r="E122" s="102" t="s">
        <v>198</v>
      </c>
      <c r="F122" s="270"/>
      <c r="G122" s="271"/>
      <c r="H122" s="57"/>
      <c r="I122" s="14"/>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row>
    <row r="123" spans="1:114" s="46" customFormat="1" ht="22.5" customHeight="1">
      <c r="A123" s="260"/>
      <c r="B123" s="285"/>
      <c r="C123" s="21" t="s">
        <v>85</v>
      </c>
      <c r="D123" s="245">
        <v>9192.75</v>
      </c>
      <c r="E123" s="125" t="s">
        <v>86</v>
      </c>
      <c r="F123" s="270"/>
      <c r="G123" s="271"/>
      <c r="H123" s="57"/>
      <c r="I123" s="14"/>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row>
    <row r="124" spans="1:114" s="46" customFormat="1" ht="42" customHeight="1">
      <c r="A124" s="255"/>
      <c r="B124" s="286"/>
      <c r="C124" s="128" t="s">
        <v>121</v>
      </c>
      <c r="D124" s="191">
        <f>6770+5607</f>
        <v>12377</v>
      </c>
      <c r="E124" s="59" t="s">
        <v>108</v>
      </c>
      <c r="F124" s="267"/>
      <c r="G124" s="269"/>
      <c r="H124" s="8"/>
      <c r="I124" s="33"/>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row>
    <row r="125" spans="1:114" s="46" customFormat="1" ht="24" customHeight="1">
      <c r="A125" s="153" t="s">
        <v>15</v>
      </c>
      <c r="B125" s="39">
        <f>SUM(B120:B124)</f>
        <v>0</v>
      </c>
      <c r="C125" s="3"/>
      <c r="D125" s="22">
        <f>SUM(D120:D124)</f>
        <v>325275.33999999997</v>
      </c>
      <c r="E125" s="23"/>
      <c r="F125" s="10">
        <f>F120</f>
        <v>0</v>
      </c>
      <c r="G125" s="41"/>
      <c r="H125" s="8">
        <f>SUM(H120:H124)</f>
        <v>0</v>
      </c>
      <c r="I125" s="33"/>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row>
    <row r="126" spans="1:114" s="46" customFormat="1" ht="28.5" customHeight="1">
      <c r="A126" s="254" t="s">
        <v>73</v>
      </c>
      <c r="B126" s="278"/>
      <c r="C126" s="162" t="s">
        <v>81</v>
      </c>
      <c r="D126" s="202">
        <v>1979.64</v>
      </c>
      <c r="E126" s="105" t="s">
        <v>91</v>
      </c>
      <c r="F126" s="123"/>
      <c r="G126" s="119"/>
      <c r="H126" s="8"/>
      <c r="I126" s="33"/>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row>
    <row r="127" spans="1:114" s="46" customFormat="1" ht="26.25" customHeight="1">
      <c r="A127" s="260"/>
      <c r="B127" s="279"/>
      <c r="C127" s="128" t="s">
        <v>81</v>
      </c>
      <c r="D127" s="203">
        <v>1280.45</v>
      </c>
      <c r="E127" s="59" t="s">
        <v>92</v>
      </c>
      <c r="F127" s="123"/>
      <c r="G127" s="119"/>
      <c r="H127" s="8"/>
      <c r="I127" s="33"/>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row>
    <row r="128" spans="1:114" s="46" customFormat="1" ht="221.25" customHeight="1">
      <c r="A128" s="260"/>
      <c r="B128" s="279"/>
      <c r="C128" s="128" t="s">
        <v>330</v>
      </c>
      <c r="D128" s="185">
        <f>384775.88+19599.22+4074.69+2040.55+2548.94+704.3+26584.5+12218.99+55886.28+3267.09</f>
        <v>511700.44</v>
      </c>
      <c r="E128" s="105" t="s">
        <v>87</v>
      </c>
      <c r="F128" s="123"/>
      <c r="G128" s="119"/>
      <c r="H128" s="8"/>
      <c r="I128" s="33"/>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row>
    <row r="129" spans="1:114" s="46" customFormat="1" ht="26.25" customHeight="1">
      <c r="A129" s="260"/>
      <c r="B129" s="279"/>
      <c r="C129" s="128" t="s">
        <v>301</v>
      </c>
      <c r="D129" s="201">
        <v>5218.96</v>
      </c>
      <c r="E129" s="105" t="s">
        <v>300</v>
      </c>
      <c r="F129" s="123"/>
      <c r="G129" s="119"/>
      <c r="H129" s="8"/>
      <c r="I129" s="33"/>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row>
    <row r="130" spans="1:114" s="46" customFormat="1" ht="20.25" customHeight="1">
      <c r="A130" s="260"/>
      <c r="B130" s="279"/>
      <c r="C130" s="21" t="s">
        <v>85</v>
      </c>
      <c r="D130" s="245">
        <v>9192.75</v>
      </c>
      <c r="E130" s="125" t="s">
        <v>86</v>
      </c>
      <c r="F130" s="123"/>
      <c r="G130" s="119"/>
      <c r="H130" s="8"/>
      <c r="I130" s="33"/>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row>
    <row r="131" spans="1:9" ht="23.25" customHeight="1">
      <c r="A131" s="260"/>
      <c r="B131" s="279"/>
      <c r="C131" s="152" t="s">
        <v>29</v>
      </c>
      <c r="D131" s="239">
        <v>64487.68</v>
      </c>
      <c r="E131" s="109" t="s">
        <v>142</v>
      </c>
      <c r="F131" s="281"/>
      <c r="G131" s="268"/>
      <c r="H131" s="5"/>
      <c r="I131" s="14"/>
    </row>
    <row r="132" spans="1:9" ht="81.75" customHeight="1">
      <c r="A132" s="260"/>
      <c r="B132" s="279"/>
      <c r="C132" s="171" t="s">
        <v>154</v>
      </c>
      <c r="D132" s="219">
        <f>93980+22196.34+89605.8</f>
        <v>205782.14</v>
      </c>
      <c r="E132" s="171" t="s">
        <v>153</v>
      </c>
      <c r="F132" s="282"/>
      <c r="G132" s="271"/>
      <c r="H132" s="5"/>
      <c r="I132" s="14"/>
    </row>
    <row r="133" spans="1:9" ht="154.5" customHeight="1">
      <c r="A133" s="260"/>
      <c r="B133" s="279"/>
      <c r="C133" s="180" t="s">
        <v>299</v>
      </c>
      <c r="D133" s="206">
        <f>60510.42+51960+17410+1975+30900+20483.1</f>
        <v>183238.52</v>
      </c>
      <c r="E133" s="16" t="s">
        <v>241</v>
      </c>
      <c r="F133" s="282"/>
      <c r="G133" s="271"/>
      <c r="H133" s="5"/>
      <c r="I133" s="14"/>
    </row>
    <row r="134" spans="1:9" ht="21.75" customHeight="1">
      <c r="A134" s="260"/>
      <c r="B134" s="279"/>
      <c r="C134" s="116" t="s">
        <v>155</v>
      </c>
      <c r="D134" s="192">
        <v>60</v>
      </c>
      <c r="E134" s="59" t="s">
        <v>108</v>
      </c>
      <c r="F134" s="282"/>
      <c r="G134" s="271"/>
      <c r="H134" s="5"/>
      <c r="I134" s="14"/>
    </row>
    <row r="135" spans="1:9" ht="34.5" customHeight="1">
      <c r="A135" s="260"/>
      <c r="B135" s="279"/>
      <c r="C135" s="116" t="s">
        <v>332</v>
      </c>
      <c r="D135" s="208">
        <v>217000</v>
      </c>
      <c r="E135" s="117" t="s">
        <v>331</v>
      </c>
      <c r="F135" s="282"/>
      <c r="G135" s="271"/>
      <c r="H135" s="5"/>
      <c r="I135" s="14"/>
    </row>
    <row r="136" spans="1:9" ht="30" customHeight="1">
      <c r="A136" s="260"/>
      <c r="B136" s="279"/>
      <c r="C136" s="152" t="s">
        <v>254</v>
      </c>
      <c r="D136" s="229">
        <f>4880+5083.23</f>
        <v>9963.23</v>
      </c>
      <c r="E136" s="102" t="s">
        <v>198</v>
      </c>
      <c r="F136" s="282"/>
      <c r="G136" s="271"/>
      <c r="H136" s="5"/>
      <c r="I136" s="14"/>
    </row>
    <row r="137" spans="1:9" ht="15" customHeight="1">
      <c r="A137" s="255"/>
      <c r="B137" s="280"/>
      <c r="C137" s="152"/>
      <c r="D137" s="109"/>
      <c r="E137" s="100"/>
      <c r="F137" s="283"/>
      <c r="G137" s="269"/>
      <c r="H137" s="5"/>
      <c r="I137" s="14"/>
    </row>
    <row r="138" spans="1:114" s="46" customFormat="1" ht="22.5" customHeight="1">
      <c r="A138" s="153" t="s">
        <v>15</v>
      </c>
      <c r="B138" s="52">
        <f>SUM(B126:B126)</f>
        <v>0</v>
      </c>
      <c r="C138" s="152"/>
      <c r="D138" s="22">
        <f>SUM(D126:D137)</f>
        <v>1209903.81</v>
      </c>
      <c r="E138" s="23"/>
      <c r="F138" s="10">
        <f>F131</f>
        <v>0</v>
      </c>
      <c r="G138" s="41"/>
      <c r="H138" s="50">
        <f>H131</f>
        <v>0</v>
      </c>
      <c r="I138" s="33"/>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row>
    <row r="139" spans="1:114" s="46" customFormat="1" ht="174.75" customHeight="1" hidden="1">
      <c r="A139" s="153" t="s">
        <v>15</v>
      </c>
      <c r="B139" s="39">
        <f>SUM(B126:B138)</f>
        <v>0</v>
      </c>
      <c r="C139" s="2"/>
      <c r="D139" s="23"/>
      <c r="E139" s="22"/>
      <c r="F139" s="9"/>
      <c r="G139" s="41"/>
      <c r="H139" s="8"/>
      <c r="I139" s="8"/>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row>
    <row r="140" spans="1:114" s="46" customFormat="1" ht="16.5" customHeight="1" hidden="1">
      <c r="A140" s="164" t="s">
        <v>27</v>
      </c>
      <c r="B140" s="62">
        <v>10999</v>
      </c>
      <c r="C140" s="152" t="s">
        <v>35</v>
      </c>
      <c r="D140" s="23"/>
      <c r="E140" s="22"/>
      <c r="F140" s="9"/>
      <c r="G140" s="41"/>
      <c r="H140" s="8"/>
      <c r="I140" s="8"/>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row>
    <row r="141" spans="1:9" ht="17.25" customHeight="1" hidden="1">
      <c r="A141" s="164" t="s">
        <v>27</v>
      </c>
      <c r="B141" s="62">
        <v>1219</v>
      </c>
      <c r="C141" s="152" t="s">
        <v>29</v>
      </c>
      <c r="D141" s="60"/>
      <c r="E141" s="22"/>
      <c r="F141" s="12"/>
      <c r="G141" s="32"/>
      <c r="H141" s="57"/>
      <c r="I141" s="14"/>
    </row>
    <row r="142" spans="1:114" s="46" customFormat="1" ht="16.5" customHeight="1" hidden="1">
      <c r="A142" s="153" t="s">
        <v>15</v>
      </c>
      <c r="B142" s="39">
        <f>SUM(B140:B141)</f>
        <v>12218</v>
      </c>
      <c r="C142" s="2"/>
      <c r="D142" s="23"/>
      <c r="E142" s="22"/>
      <c r="F142" s="9"/>
      <c r="G142" s="41"/>
      <c r="H142" s="8"/>
      <c r="I142" s="8"/>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row>
    <row r="143" spans="1:114" s="46" customFormat="1" ht="16.5" customHeight="1" hidden="1">
      <c r="A143" s="164" t="s">
        <v>22</v>
      </c>
      <c r="B143" s="59">
        <v>3133</v>
      </c>
      <c r="C143" s="152" t="s">
        <v>30</v>
      </c>
      <c r="D143" s="60"/>
      <c r="E143" s="22"/>
      <c r="F143" s="9"/>
      <c r="G143" s="41"/>
      <c r="H143" s="8"/>
      <c r="I143" s="8"/>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row>
    <row r="144" spans="1:114" s="46" customFormat="1" ht="18.75" customHeight="1" hidden="1">
      <c r="A144" s="164" t="s">
        <v>22</v>
      </c>
      <c r="B144" s="59">
        <v>120</v>
      </c>
      <c r="C144" s="152" t="s">
        <v>26</v>
      </c>
      <c r="D144" s="60"/>
      <c r="E144" s="22"/>
      <c r="F144" s="9"/>
      <c r="G144" s="41"/>
      <c r="H144" s="8"/>
      <c r="I144" s="8"/>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row>
    <row r="145" spans="1:114" s="46" customFormat="1" ht="18.75" customHeight="1" hidden="1">
      <c r="A145" s="164" t="s">
        <v>22</v>
      </c>
      <c r="B145" s="59">
        <v>210</v>
      </c>
      <c r="C145" s="152" t="s">
        <v>26</v>
      </c>
      <c r="D145" s="60"/>
      <c r="E145" s="22"/>
      <c r="F145" s="9"/>
      <c r="G145" s="41"/>
      <c r="H145" s="8"/>
      <c r="I145" s="8"/>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row>
    <row r="146" spans="1:114" s="46" customFormat="1" ht="16.5" customHeight="1" hidden="1">
      <c r="A146" s="153" t="s">
        <v>15</v>
      </c>
      <c r="B146" s="22">
        <f>SUM(B143:B145)</f>
        <v>3463</v>
      </c>
      <c r="C146" s="2"/>
      <c r="D146" s="23"/>
      <c r="E146" s="22"/>
      <c r="F146" s="9"/>
      <c r="G146" s="41"/>
      <c r="H146" s="8"/>
      <c r="I146" s="8"/>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row>
    <row r="147" spans="1:114" s="46" customFormat="1" ht="17.25" customHeight="1" hidden="1">
      <c r="A147" s="164" t="s">
        <v>23</v>
      </c>
      <c r="B147" s="63">
        <v>60</v>
      </c>
      <c r="C147" s="152" t="s">
        <v>33</v>
      </c>
      <c r="D147" s="63">
        <v>149639.87</v>
      </c>
      <c r="E147" s="85" t="s">
        <v>32</v>
      </c>
      <c r="F147" s="6"/>
      <c r="G147" s="41"/>
      <c r="H147" s="61"/>
      <c r="I147" s="8"/>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row>
    <row r="148" spans="1:114" s="46" customFormat="1" ht="17.25" customHeight="1" hidden="1">
      <c r="A148" s="164" t="s">
        <v>23</v>
      </c>
      <c r="B148" s="63">
        <v>3951.33</v>
      </c>
      <c r="C148" s="152" t="s">
        <v>34</v>
      </c>
      <c r="D148" s="63"/>
      <c r="E148" s="85"/>
      <c r="F148" s="6"/>
      <c r="G148" s="41"/>
      <c r="H148" s="61"/>
      <c r="I148" s="8"/>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row>
    <row r="149" spans="1:114" s="46" customFormat="1" ht="24" customHeight="1">
      <c r="A149" s="254" t="s">
        <v>27</v>
      </c>
      <c r="B149" s="278">
        <f>360+324</f>
        <v>684</v>
      </c>
      <c r="C149" s="156" t="s">
        <v>81</v>
      </c>
      <c r="D149" s="202">
        <v>673.92</v>
      </c>
      <c r="E149" s="105" t="s">
        <v>91</v>
      </c>
      <c r="F149" s="115"/>
      <c r="G149" s="119"/>
      <c r="H149" s="61"/>
      <c r="I149" s="8"/>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row>
    <row r="150" spans="1:114" s="46" customFormat="1" ht="20.25" customHeight="1">
      <c r="A150" s="260"/>
      <c r="B150" s="279"/>
      <c r="C150" s="128" t="s">
        <v>81</v>
      </c>
      <c r="D150" s="203">
        <v>1280.45</v>
      </c>
      <c r="E150" s="59" t="s">
        <v>92</v>
      </c>
      <c r="F150" s="115"/>
      <c r="G150" s="119"/>
      <c r="H150" s="61"/>
      <c r="I150" s="8"/>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row>
    <row r="151" spans="1:114" s="46" customFormat="1" ht="210.75" customHeight="1">
      <c r="A151" s="260"/>
      <c r="B151" s="279"/>
      <c r="C151" s="128" t="s">
        <v>333</v>
      </c>
      <c r="D151" s="185">
        <f>489343.04+24712.06+2087.36+563.44+4074.69+7646.82+12218.99+27943.14+3267.09</f>
        <v>571856.6299999999</v>
      </c>
      <c r="E151" s="105" t="s">
        <v>87</v>
      </c>
      <c r="F151" s="115"/>
      <c r="G151" s="119"/>
      <c r="H151" s="61"/>
      <c r="I151" s="8"/>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row>
    <row r="152" spans="1:9" ht="29.25" customHeight="1">
      <c r="A152" s="260"/>
      <c r="B152" s="279"/>
      <c r="C152" s="156" t="s">
        <v>138</v>
      </c>
      <c r="D152" s="191">
        <f>1898+160+60</f>
        <v>2118</v>
      </c>
      <c r="E152" s="122" t="s">
        <v>108</v>
      </c>
      <c r="F152" s="281"/>
      <c r="G152" s="268"/>
      <c r="H152" s="57"/>
      <c r="I152" s="14"/>
    </row>
    <row r="153" spans="1:9" ht="31.5" customHeight="1">
      <c r="A153" s="260"/>
      <c r="B153" s="279"/>
      <c r="C153" s="21" t="s">
        <v>292</v>
      </c>
      <c r="D153" s="245">
        <v>113811</v>
      </c>
      <c r="E153" s="105" t="s">
        <v>293</v>
      </c>
      <c r="F153" s="282"/>
      <c r="G153" s="271"/>
      <c r="H153" s="57"/>
      <c r="I153" s="104"/>
    </row>
    <row r="154" spans="1:9" ht="27.75" customHeight="1">
      <c r="A154" s="260"/>
      <c r="B154" s="279"/>
      <c r="C154" s="156" t="s">
        <v>254</v>
      </c>
      <c r="D154" s="229">
        <f>5490+5083.23</f>
        <v>10573.23</v>
      </c>
      <c r="E154" s="122" t="s">
        <v>198</v>
      </c>
      <c r="F154" s="282"/>
      <c r="G154" s="271"/>
      <c r="H154" s="57"/>
      <c r="I154" s="104"/>
    </row>
    <row r="155" spans="1:9" ht="27.75" customHeight="1">
      <c r="A155" s="260"/>
      <c r="B155" s="279"/>
      <c r="C155" s="21" t="s">
        <v>85</v>
      </c>
      <c r="D155" s="245">
        <v>55156.5</v>
      </c>
      <c r="E155" s="125" t="s">
        <v>86</v>
      </c>
      <c r="F155" s="282"/>
      <c r="G155" s="271"/>
      <c r="H155" s="57"/>
      <c r="I155" s="104"/>
    </row>
    <row r="156" spans="1:9" ht="20.25" customHeight="1">
      <c r="A156" s="260"/>
      <c r="B156" s="279"/>
      <c r="C156" s="156" t="s">
        <v>192</v>
      </c>
      <c r="D156" s="109"/>
      <c r="E156" s="109"/>
      <c r="F156" s="283"/>
      <c r="G156" s="269"/>
      <c r="H156" s="57"/>
      <c r="I156" s="104"/>
    </row>
    <row r="157" spans="1:114" s="46" customFormat="1" ht="19.5" customHeight="1">
      <c r="A157" s="153" t="s">
        <v>15</v>
      </c>
      <c r="B157" s="52">
        <f>SUM(B149:B149)</f>
        <v>684</v>
      </c>
      <c r="C157" s="158"/>
      <c r="D157" s="22">
        <f>SUM(D149:D156)</f>
        <v>755469.7299999999</v>
      </c>
      <c r="E157" s="23"/>
      <c r="F157" s="10">
        <f>F152</f>
        <v>0</v>
      </c>
      <c r="G157" s="41"/>
      <c r="H157" s="8">
        <f>SUM(H152:H156)</f>
        <v>0</v>
      </c>
      <c r="I157" s="33"/>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row>
    <row r="158" spans="1:114" s="46" customFormat="1" ht="154.5" customHeight="1">
      <c r="A158" s="254" t="s">
        <v>74</v>
      </c>
      <c r="B158" s="278"/>
      <c r="C158" s="173" t="s">
        <v>334</v>
      </c>
      <c r="D158" s="188">
        <f>76877.13+12728+27268.48+8921.29+46571.9</f>
        <v>172366.8</v>
      </c>
      <c r="E158" s="105" t="s">
        <v>87</v>
      </c>
      <c r="F158" s="281"/>
      <c r="G158" s="268"/>
      <c r="H158" s="57"/>
      <c r="I158" s="14"/>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row>
    <row r="159" spans="1:114" s="46" customFormat="1" ht="92.25" customHeight="1">
      <c r="A159" s="260"/>
      <c r="B159" s="279"/>
      <c r="C159" s="173" t="s">
        <v>276</v>
      </c>
      <c r="D159" s="243">
        <v>352163.3</v>
      </c>
      <c r="E159" s="105" t="s">
        <v>275</v>
      </c>
      <c r="F159" s="282"/>
      <c r="G159" s="271"/>
      <c r="H159" s="57"/>
      <c r="I159" s="14"/>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row>
    <row r="160" spans="1:114" s="46" customFormat="1" ht="30" customHeight="1">
      <c r="A160" s="260"/>
      <c r="B160" s="279"/>
      <c r="C160" s="21" t="s">
        <v>292</v>
      </c>
      <c r="D160" s="245">
        <v>113811</v>
      </c>
      <c r="E160" s="105" t="s">
        <v>293</v>
      </c>
      <c r="F160" s="282"/>
      <c r="G160" s="271"/>
      <c r="H160" s="57"/>
      <c r="I160" s="14"/>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row>
    <row r="161" spans="1:9" ht="29.25" customHeight="1">
      <c r="A161" s="255"/>
      <c r="B161" s="280"/>
      <c r="C161" s="173" t="s">
        <v>254</v>
      </c>
      <c r="D161" s="230">
        <f>3416+5083.23</f>
        <v>8499.23</v>
      </c>
      <c r="E161" s="122" t="s">
        <v>198</v>
      </c>
      <c r="F161" s="283"/>
      <c r="G161" s="269"/>
      <c r="H161" s="60"/>
      <c r="I161" s="94"/>
    </row>
    <row r="162" spans="1:114" s="46" customFormat="1" ht="25.5" customHeight="1">
      <c r="A162" s="153" t="s">
        <v>15</v>
      </c>
      <c r="B162" s="39">
        <f>SUM(B158:B158)</f>
        <v>0</v>
      </c>
      <c r="C162" s="3"/>
      <c r="D162" s="22">
        <f>SUM(D158:D161)</f>
        <v>646840.33</v>
      </c>
      <c r="E162" s="23"/>
      <c r="F162" s="10">
        <f>F158</f>
        <v>0</v>
      </c>
      <c r="G162" s="41"/>
      <c r="H162" s="8">
        <f>SUM(H158:H161)</f>
        <v>0</v>
      </c>
      <c r="I162" s="33"/>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row>
    <row r="163" spans="1:114" s="46" customFormat="1" ht="18.75" customHeight="1">
      <c r="A163" s="254" t="s">
        <v>75</v>
      </c>
      <c r="B163" s="278">
        <v>120</v>
      </c>
      <c r="C163" s="156" t="s">
        <v>81</v>
      </c>
      <c r="D163" s="202">
        <v>1305.72</v>
      </c>
      <c r="E163" s="105" t="s">
        <v>91</v>
      </c>
      <c r="F163" s="281"/>
      <c r="G163" s="268"/>
      <c r="H163" s="57"/>
      <c r="I163" s="14"/>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row>
    <row r="164" spans="1:114" s="46" customFormat="1" ht="18.75" customHeight="1">
      <c r="A164" s="260"/>
      <c r="B164" s="279"/>
      <c r="C164" s="128" t="s">
        <v>81</v>
      </c>
      <c r="D164" s="203">
        <v>1280.45</v>
      </c>
      <c r="E164" s="59" t="s">
        <v>92</v>
      </c>
      <c r="F164" s="282"/>
      <c r="G164" s="271"/>
      <c r="H164" s="57"/>
      <c r="I164" s="14"/>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row>
    <row r="165" spans="1:114" s="46" customFormat="1" ht="284.25" customHeight="1">
      <c r="A165" s="260"/>
      <c r="B165" s="279"/>
      <c r="C165" s="137" t="s">
        <v>335</v>
      </c>
      <c r="D165" s="185">
        <f>546886.52+1023.96+17042.8+3964.95+11594.97+11135.2+6529.45+4601.6+6529.45+3415.09+46571.9</f>
        <v>659295.8899999998</v>
      </c>
      <c r="E165" s="105" t="s">
        <v>87</v>
      </c>
      <c r="F165" s="282"/>
      <c r="G165" s="271"/>
      <c r="H165" s="57"/>
      <c r="I165" s="14"/>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row>
    <row r="166" spans="1:114" s="46" customFormat="1" ht="39.75" customHeight="1">
      <c r="A166" s="260"/>
      <c r="B166" s="279"/>
      <c r="C166" s="137" t="s">
        <v>239</v>
      </c>
      <c r="D166" s="222">
        <v>1952390.8</v>
      </c>
      <c r="E166" s="105" t="s">
        <v>240</v>
      </c>
      <c r="F166" s="282"/>
      <c r="G166" s="271"/>
      <c r="H166" s="57"/>
      <c r="I166" s="14"/>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row>
    <row r="167" spans="1:114" s="46" customFormat="1" ht="33.75" customHeight="1">
      <c r="A167" s="260"/>
      <c r="B167" s="279"/>
      <c r="C167" s="137" t="s">
        <v>156</v>
      </c>
      <c r="D167" s="191">
        <f>480+100</f>
        <v>580</v>
      </c>
      <c r="E167" s="138" t="s">
        <v>108</v>
      </c>
      <c r="F167" s="282"/>
      <c r="G167" s="271"/>
      <c r="H167" s="57"/>
      <c r="I167" s="14"/>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row>
    <row r="168" spans="1:114" s="46" customFormat="1" ht="25.5" customHeight="1">
      <c r="A168" s="260"/>
      <c r="B168" s="279"/>
      <c r="C168" s="21" t="s">
        <v>85</v>
      </c>
      <c r="D168" s="245">
        <v>27578.25</v>
      </c>
      <c r="E168" s="125" t="s">
        <v>86</v>
      </c>
      <c r="F168" s="282"/>
      <c r="G168" s="271"/>
      <c r="H168" s="57"/>
      <c r="I168" s="14"/>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row>
    <row r="169" spans="1:114" s="46" customFormat="1" ht="19.5" customHeight="1">
      <c r="A169" s="260"/>
      <c r="B169" s="279"/>
      <c r="C169" s="156" t="s">
        <v>193</v>
      </c>
      <c r="D169" s="122"/>
      <c r="E169" s="105"/>
      <c r="F169" s="282"/>
      <c r="G169" s="271"/>
      <c r="H169" s="57"/>
      <c r="I169" s="14"/>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row>
    <row r="170" spans="1:9" ht="33" customHeight="1">
      <c r="A170" s="255"/>
      <c r="B170" s="280"/>
      <c r="C170" s="177" t="s">
        <v>254</v>
      </c>
      <c r="D170" s="231">
        <f>7930+5083.23</f>
        <v>13013.23</v>
      </c>
      <c r="E170" s="105" t="s">
        <v>198</v>
      </c>
      <c r="F170" s="283"/>
      <c r="G170" s="269"/>
      <c r="H170" s="57"/>
      <c r="I170" s="14"/>
    </row>
    <row r="171" spans="1:114" s="46" customFormat="1" ht="20.25" customHeight="1">
      <c r="A171" s="153" t="s">
        <v>15</v>
      </c>
      <c r="B171" s="39">
        <f>SUM(B163:B170)</f>
        <v>120</v>
      </c>
      <c r="C171" s="3"/>
      <c r="D171" s="22">
        <f>SUM(D163:D170)</f>
        <v>2655444.34</v>
      </c>
      <c r="E171" s="23"/>
      <c r="F171" s="10">
        <f>F163</f>
        <v>0</v>
      </c>
      <c r="G171" s="41"/>
      <c r="H171" s="8">
        <f>SUM(H163:H170)</f>
        <v>0</v>
      </c>
      <c r="I171" s="33"/>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row>
    <row r="172" spans="1:114" s="46" customFormat="1" ht="23.25" customHeight="1" hidden="1">
      <c r="A172" s="254" t="s">
        <v>76</v>
      </c>
      <c r="B172" s="278">
        <f>791.2+2245.96+562+806+2178.6+1530+1121.2+14766+4250+634.08</f>
        <v>28885.04</v>
      </c>
      <c r="C172" s="152"/>
      <c r="D172" s="59"/>
      <c r="E172" s="86"/>
      <c r="F172" s="281"/>
      <c r="G172" s="268"/>
      <c r="H172" s="8"/>
      <c r="I172" s="33"/>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row>
    <row r="173" spans="1:114" s="46" customFormat="1" ht="327.75" customHeight="1">
      <c r="A173" s="260"/>
      <c r="B173" s="279"/>
      <c r="C173" s="162" t="s">
        <v>336</v>
      </c>
      <c r="D173" s="184">
        <f>522405.61+18851.5-79120+21303.5+11776.56+6529.45+27943.14+13653+3267.09</f>
        <v>546609.85</v>
      </c>
      <c r="E173" s="105" t="s">
        <v>87</v>
      </c>
      <c r="F173" s="282"/>
      <c r="G173" s="271"/>
      <c r="H173" s="8"/>
      <c r="I173" s="120"/>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row>
    <row r="174" spans="1:114" s="46" customFormat="1" ht="27.75" customHeight="1">
      <c r="A174" s="260"/>
      <c r="B174" s="279"/>
      <c r="C174" s="128" t="s">
        <v>337</v>
      </c>
      <c r="D174" s="109"/>
      <c r="E174" s="122"/>
      <c r="F174" s="282"/>
      <c r="G174" s="271"/>
      <c r="H174" s="8"/>
      <c r="I174" s="120"/>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row>
    <row r="175" spans="1:114" s="46" customFormat="1" ht="141.75" customHeight="1">
      <c r="A175" s="260"/>
      <c r="B175" s="279"/>
      <c r="C175" s="156" t="s">
        <v>106</v>
      </c>
      <c r="D175" s="198">
        <v>142506</v>
      </c>
      <c r="E175" s="105" t="s">
        <v>80</v>
      </c>
      <c r="F175" s="282"/>
      <c r="G175" s="271"/>
      <c r="H175" s="8"/>
      <c r="I175" s="120"/>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row>
    <row r="176" spans="1:114" s="46" customFormat="1" ht="218.25" customHeight="1">
      <c r="A176" s="260"/>
      <c r="B176" s="279"/>
      <c r="C176" s="146" t="s">
        <v>158</v>
      </c>
      <c r="D176" s="205">
        <v>402168.72</v>
      </c>
      <c r="E176" s="106" t="s">
        <v>132</v>
      </c>
      <c r="F176" s="282"/>
      <c r="G176" s="271"/>
      <c r="H176" s="8"/>
      <c r="I176" s="120"/>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row>
    <row r="177" spans="1:114" s="46" customFormat="1" ht="41.25" customHeight="1">
      <c r="A177" s="260"/>
      <c r="B177" s="279"/>
      <c r="C177" s="156" t="s">
        <v>157</v>
      </c>
      <c r="D177" s="193">
        <f>750+240+6175</f>
        <v>7165</v>
      </c>
      <c r="E177" s="105" t="s">
        <v>108</v>
      </c>
      <c r="F177" s="282"/>
      <c r="G177" s="271"/>
      <c r="H177" s="8"/>
      <c r="I177" s="120"/>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row>
    <row r="178" spans="1:114" s="46" customFormat="1" ht="54" customHeight="1">
      <c r="A178" s="260"/>
      <c r="B178" s="279"/>
      <c r="C178" s="165" t="s">
        <v>307</v>
      </c>
      <c r="D178" s="242">
        <v>95113.98</v>
      </c>
      <c r="E178" s="105" t="s">
        <v>306</v>
      </c>
      <c r="F178" s="282"/>
      <c r="G178" s="271"/>
      <c r="H178" s="8"/>
      <c r="I178" s="120"/>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row>
    <row r="179" spans="1:114" s="46" customFormat="1" ht="47.25" customHeight="1">
      <c r="A179" s="260"/>
      <c r="B179" s="279"/>
      <c r="C179" s="165" t="s">
        <v>160</v>
      </c>
      <c r="D179" s="209">
        <v>245480.54</v>
      </c>
      <c r="E179" s="172" t="s">
        <v>159</v>
      </c>
      <c r="F179" s="282"/>
      <c r="G179" s="271"/>
      <c r="H179" s="8"/>
      <c r="I179" s="120"/>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row>
    <row r="180" spans="1:114" s="46" customFormat="1" ht="24.75" customHeight="1">
      <c r="A180" s="260"/>
      <c r="B180" s="279"/>
      <c r="C180" s="165" t="s">
        <v>113</v>
      </c>
      <c r="D180" s="203">
        <f>1082.18</f>
        <v>1082.18</v>
      </c>
      <c r="E180" s="122" t="s">
        <v>112</v>
      </c>
      <c r="F180" s="282"/>
      <c r="G180" s="271"/>
      <c r="H180" s="8"/>
      <c r="I180" s="120"/>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row>
    <row r="181" spans="1:114" s="46" customFormat="1" ht="33" customHeight="1">
      <c r="A181" s="260"/>
      <c r="B181" s="279"/>
      <c r="C181" s="165" t="s">
        <v>254</v>
      </c>
      <c r="D181" s="229">
        <f>6710+5083.23</f>
        <v>11793.23</v>
      </c>
      <c r="E181" s="122" t="s">
        <v>198</v>
      </c>
      <c r="F181" s="282"/>
      <c r="G181" s="271"/>
      <c r="H181" s="8"/>
      <c r="I181" s="120"/>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row>
    <row r="182" spans="1:114" s="46" customFormat="1" ht="122.25" customHeight="1">
      <c r="A182" s="260"/>
      <c r="B182" s="279"/>
      <c r="C182" s="165" t="s">
        <v>173</v>
      </c>
      <c r="D182" s="197">
        <f>87150+800+75472.25+29277.9+96513.89+106300</f>
        <v>395514.04</v>
      </c>
      <c r="E182" s="122" t="s">
        <v>110</v>
      </c>
      <c r="F182" s="282"/>
      <c r="G182" s="271"/>
      <c r="H182" s="8"/>
      <c r="I182" s="120"/>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row>
    <row r="183" spans="1:114" s="46" customFormat="1" ht="24" customHeight="1">
      <c r="A183" s="153" t="s">
        <v>15</v>
      </c>
      <c r="B183" s="52">
        <f>SUM(B172:B172)</f>
        <v>28885.04</v>
      </c>
      <c r="C183" s="152"/>
      <c r="D183" s="22">
        <f>SUM(D173:D182)</f>
        <v>1847433.5399999998</v>
      </c>
      <c r="E183" s="60"/>
      <c r="F183" s="10">
        <f>F172</f>
        <v>0</v>
      </c>
      <c r="G183" s="41"/>
      <c r="H183" s="50">
        <f>SUM(H172:H182)</f>
        <v>0</v>
      </c>
      <c r="I183" s="33"/>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row>
    <row r="184" spans="1:114" s="46" customFormat="1" ht="29.25" customHeight="1">
      <c r="A184" s="277" t="s">
        <v>37</v>
      </c>
      <c r="B184" s="278">
        <v>7880</v>
      </c>
      <c r="C184" s="156" t="s">
        <v>81</v>
      </c>
      <c r="D184" s="202">
        <v>1305.72</v>
      </c>
      <c r="E184" s="105" t="s">
        <v>91</v>
      </c>
      <c r="F184" s="266"/>
      <c r="G184" s="268"/>
      <c r="H184" s="57"/>
      <c r="I184" s="14"/>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row>
    <row r="185" spans="1:114" s="46" customFormat="1" ht="20.25" customHeight="1">
      <c r="A185" s="277"/>
      <c r="B185" s="279"/>
      <c r="C185" s="128" t="s">
        <v>81</v>
      </c>
      <c r="D185" s="203">
        <v>1280.45</v>
      </c>
      <c r="E185" s="59" t="s">
        <v>92</v>
      </c>
      <c r="F185" s="270"/>
      <c r="G185" s="271"/>
      <c r="H185" s="57"/>
      <c r="I185" s="14"/>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row>
    <row r="186" spans="1:114" s="46" customFormat="1" ht="207.75" customHeight="1">
      <c r="A186" s="277"/>
      <c r="B186" s="279"/>
      <c r="C186" s="165" t="s">
        <v>338</v>
      </c>
      <c r="D186" s="184">
        <f>270761.54+33233.46+4074.69+8921.29+563.44+697.75+6529.45+27943.14+3267.09+3413.25</f>
        <v>359405.10000000003</v>
      </c>
      <c r="E186" s="105" t="s">
        <v>87</v>
      </c>
      <c r="F186" s="270"/>
      <c r="G186" s="271"/>
      <c r="H186" s="57"/>
      <c r="I186" s="14"/>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row>
    <row r="187" spans="1:114" s="46" customFormat="1" ht="35.25" customHeight="1">
      <c r="A187" s="277"/>
      <c r="B187" s="279"/>
      <c r="C187" s="165" t="s">
        <v>250</v>
      </c>
      <c r="D187" s="122"/>
      <c r="E187" s="105"/>
      <c r="F187" s="270"/>
      <c r="G187" s="271"/>
      <c r="H187" s="57"/>
      <c r="I187" s="14"/>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row>
    <row r="188" spans="1:114" s="46" customFormat="1" ht="25.5" customHeight="1">
      <c r="A188" s="277"/>
      <c r="B188" s="279"/>
      <c r="C188" s="21" t="s">
        <v>85</v>
      </c>
      <c r="D188" s="245">
        <v>18385.5</v>
      </c>
      <c r="E188" s="125" t="s">
        <v>86</v>
      </c>
      <c r="F188" s="270"/>
      <c r="G188" s="271"/>
      <c r="H188" s="57"/>
      <c r="I188" s="14"/>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row>
    <row r="189" spans="1:114" s="46" customFormat="1" ht="27" customHeight="1">
      <c r="A189" s="277"/>
      <c r="B189" s="279"/>
      <c r="C189" s="156" t="s">
        <v>120</v>
      </c>
      <c r="D189" s="193">
        <v>240</v>
      </c>
      <c r="E189" s="105" t="s">
        <v>108</v>
      </c>
      <c r="F189" s="270"/>
      <c r="G189" s="271"/>
      <c r="H189" s="57"/>
      <c r="I189" s="14"/>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row>
    <row r="190" spans="1:114" s="46" customFormat="1" ht="30.75" customHeight="1">
      <c r="A190" s="277"/>
      <c r="B190" s="280"/>
      <c r="C190" s="128" t="s">
        <v>254</v>
      </c>
      <c r="D190" s="229">
        <f>6710+5083.23</f>
        <v>11793.23</v>
      </c>
      <c r="E190" s="122" t="s">
        <v>198</v>
      </c>
      <c r="F190" s="267"/>
      <c r="G190" s="269"/>
      <c r="H190" s="61"/>
      <c r="I190" s="8"/>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row>
    <row r="191" spans="1:114" s="46" customFormat="1" ht="19.5" customHeight="1">
      <c r="A191" s="153" t="s">
        <v>15</v>
      </c>
      <c r="B191" s="64">
        <f>B184</f>
        <v>7880</v>
      </c>
      <c r="C191" s="2"/>
      <c r="D191" s="64">
        <f>SUM(D184:D190)</f>
        <v>392410</v>
      </c>
      <c r="E191" s="22"/>
      <c r="F191" s="9">
        <f>F184</f>
        <v>0</v>
      </c>
      <c r="G191" s="41"/>
      <c r="H191" s="8">
        <f>SUM(H184:H190)</f>
        <v>0</v>
      </c>
      <c r="I191" s="8"/>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row>
    <row r="192" spans="1:114" s="46" customFormat="1" ht="207" customHeight="1">
      <c r="A192" s="254" t="s">
        <v>53</v>
      </c>
      <c r="B192" s="261">
        <v>138</v>
      </c>
      <c r="C192" s="156" t="s">
        <v>339</v>
      </c>
      <c r="D192" s="184">
        <f>319625.29+17042.8+4074.69+650.94+563.44+7464.82+182+6529.45+3267.09</f>
        <v>359400.52</v>
      </c>
      <c r="E192" s="105" t="s">
        <v>87</v>
      </c>
      <c r="F192" s="266"/>
      <c r="G192" s="268"/>
      <c r="H192" s="8"/>
      <c r="I192" s="8"/>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row>
    <row r="193" spans="1:114" s="46" customFormat="1" ht="58.5" customHeight="1">
      <c r="A193" s="260"/>
      <c r="B193" s="262"/>
      <c r="C193" s="158" t="s">
        <v>161</v>
      </c>
      <c r="D193" s="193">
        <f>7740+6552+420</f>
        <v>14712</v>
      </c>
      <c r="E193" s="122" t="s">
        <v>108</v>
      </c>
      <c r="F193" s="270"/>
      <c r="G193" s="271"/>
      <c r="H193" s="8"/>
      <c r="I193" s="8"/>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row>
    <row r="194" spans="1:114" s="46" customFormat="1" ht="19.5" customHeight="1">
      <c r="A194" s="260"/>
      <c r="B194" s="262"/>
      <c r="C194" s="158" t="s">
        <v>194</v>
      </c>
      <c r="D194" s="122"/>
      <c r="E194" s="138"/>
      <c r="F194" s="270"/>
      <c r="G194" s="271"/>
      <c r="H194" s="8"/>
      <c r="I194" s="8"/>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row>
    <row r="195" spans="1:114" s="46" customFormat="1" ht="19.5" customHeight="1">
      <c r="A195" s="260"/>
      <c r="B195" s="262"/>
      <c r="C195" s="21" t="s">
        <v>85</v>
      </c>
      <c r="D195" s="245">
        <v>18385.5</v>
      </c>
      <c r="E195" s="125" t="s">
        <v>86</v>
      </c>
      <c r="F195" s="270"/>
      <c r="G195" s="271"/>
      <c r="H195" s="8"/>
      <c r="I195" s="8"/>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row>
    <row r="196" spans="1:114" s="46" customFormat="1" ht="27" customHeight="1">
      <c r="A196" s="260"/>
      <c r="B196" s="262"/>
      <c r="C196" s="158" t="s">
        <v>254</v>
      </c>
      <c r="D196" s="231">
        <f>2440+5083.23</f>
        <v>7523.23</v>
      </c>
      <c r="E196" s="138" t="s">
        <v>198</v>
      </c>
      <c r="F196" s="270"/>
      <c r="G196" s="271"/>
      <c r="H196" s="8"/>
      <c r="I196" s="8"/>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row>
    <row r="197" spans="1:114" s="46" customFormat="1" ht="19.5" customHeight="1">
      <c r="A197" s="260"/>
      <c r="B197" s="262"/>
      <c r="C197" s="158" t="s">
        <v>134</v>
      </c>
      <c r="D197" s="212">
        <v>4320</v>
      </c>
      <c r="E197" s="106" t="s">
        <v>141</v>
      </c>
      <c r="F197" s="267"/>
      <c r="G197" s="269"/>
      <c r="H197" s="61"/>
      <c r="I197" s="8"/>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row>
    <row r="198" spans="1:114" s="46" customFormat="1" ht="21" customHeight="1">
      <c r="A198" s="153" t="s">
        <v>15</v>
      </c>
      <c r="B198" s="64">
        <f>SUM(B192)</f>
        <v>138</v>
      </c>
      <c r="C198" s="2"/>
      <c r="D198" s="64">
        <f>SUM(D192:D197)</f>
        <v>404341.25</v>
      </c>
      <c r="E198" s="22"/>
      <c r="F198" s="9">
        <f>F192</f>
        <v>0</v>
      </c>
      <c r="G198" s="41"/>
      <c r="H198" s="8">
        <f>SUM(H192:H197)</f>
        <v>0</v>
      </c>
      <c r="I198" s="8"/>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row>
    <row r="199" spans="1:114" s="46" customFormat="1" ht="85.5" customHeight="1">
      <c r="A199" s="254" t="s">
        <v>77</v>
      </c>
      <c r="B199" s="261"/>
      <c r="C199" s="156" t="s">
        <v>341</v>
      </c>
      <c r="D199" s="187">
        <f>643552.58+18628.76</f>
        <v>662181.34</v>
      </c>
      <c r="E199" s="105" t="s">
        <v>87</v>
      </c>
      <c r="F199" s="9"/>
      <c r="G199" s="41"/>
      <c r="H199" s="8"/>
      <c r="I199" s="8"/>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row>
    <row r="200" spans="1:114" s="46" customFormat="1" ht="33.75" customHeight="1">
      <c r="A200" s="260"/>
      <c r="B200" s="262"/>
      <c r="C200" s="21" t="s">
        <v>292</v>
      </c>
      <c r="D200" s="245">
        <v>113811</v>
      </c>
      <c r="E200" s="105" t="s">
        <v>293</v>
      </c>
      <c r="F200" s="181"/>
      <c r="G200" s="182"/>
      <c r="H200" s="8"/>
      <c r="I200" s="8"/>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row>
    <row r="201" spans="1:114" s="46" customFormat="1" ht="27.75" customHeight="1">
      <c r="A201" s="255"/>
      <c r="B201" s="265"/>
      <c r="C201" s="166" t="s">
        <v>254</v>
      </c>
      <c r="D201" s="233">
        <f>5490+5083.23</f>
        <v>10573.23</v>
      </c>
      <c r="E201" s="109" t="s">
        <v>198</v>
      </c>
      <c r="F201" s="170"/>
      <c r="G201" s="110"/>
      <c r="H201" s="8"/>
      <c r="I201" s="8"/>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row>
    <row r="202" spans="1:114" s="46" customFormat="1" ht="19.5" customHeight="1">
      <c r="A202" s="153" t="s">
        <v>15</v>
      </c>
      <c r="B202" s="22">
        <f>SUM(B199)</f>
        <v>0</v>
      </c>
      <c r="C202" s="2"/>
      <c r="D202" s="23">
        <f>SUM(D199:D201)</f>
        <v>786565.57</v>
      </c>
      <c r="E202" s="103"/>
      <c r="F202" s="9"/>
      <c r="G202" s="41"/>
      <c r="H202" s="8">
        <f>SUM(H201:H201)</f>
        <v>0</v>
      </c>
      <c r="I202" s="8"/>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row>
    <row r="203" spans="1:114" s="46" customFormat="1" ht="156" customHeight="1">
      <c r="A203" s="254" t="s">
        <v>38</v>
      </c>
      <c r="B203" s="261"/>
      <c r="C203" s="156" t="s">
        <v>340</v>
      </c>
      <c r="D203" s="187">
        <f>251683.58+10966.8+1023.96+29824.9+3964.95+1056.45+4074.69+2756.66+1857.79+11470.23+12218.99+55886.28+4451.89</f>
        <v>391237.17000000004</v>
      </c>
      <c r="E203" s="105" t="s">
        <v>87</v>
      </c>
      <c r="F203" s="266"/>
      <c r="G203" s="268"/>
      <c r="H203" s="57"/>
      <c r="I203" s="14"/>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row>
    <row r="204" spans="1:114" s="46" customFormat="1" ht="24.75" customHeight="1">
      <c r="A204" s="260"/>
      <c r="B204" s="262"/>
      <c r="C204" s="21" t="s">
        <v>85</v>
      </c>
      <c r="D204" s="245">
        <v>9192.75</v>
      </c>
      <c r="E204" s="125" t="s">
        <v>86</v>
      </c>
      <c r="F204" s="270"/>
      <c r="G204" s="271"/>
      <c r="H204" s="57"/>
      <c r="I204" s="14"/>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row>
    <row r="205" spans="1:114" s="46" customFormat="1" ht="36" customHeight="1">
      <c r="A205" s="255"/>
      <c r="B205" s="265"/>
      <c r="C205" s="152" t="s">
        <v>254</v>
      </c>
      <c r="D205" s="232">
        <f>6710+5083.23</f>
        <v>11793.23</v>
      </c>
      <c r="E205" s="122" t="s">
        <v>198</v>
      </c>
      <c r="F205" s="267"/>
      <c r="G205" s="269"/>
      <c r="H205" s="8"/>
      <c r="I205" s="8"/>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row>
    <row r="206" spans="1:114" s="46" customFormat="1" ht="19.5" customHeight="1">
      <c r="A206" s="153" t="s">
        <v>15</v>
      </c>
      <c r="B206" s="22">
        <f>B203</f>
        <v>0</v>
      </c>
      <c r="C206" s="2"/>
      <c r="D206" s="23">
        <f>SUM(D203:D205)</f>
        <v>412223.15</v>
      </c>
      <c r="E206" s="59"/>
      <c r="F206" s="9">
        <f>F203</f>
        <v>0</v>
      </c>
      <c r="G206" s="41"/>
      <c r="H206" s="8">
        <f>SUM(H203:H205)</f>
        <v>0</v>
      </c>
      <c r="I206" s="8"/>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row>
    <row r="207" spans="1:114" s="46" customFormat="1" ht="205.5" customHeight="1">
      <c r="A207" s="254" t="s">
        <v>56</v>
      </c>
      <c r="B207" s="261">
        <f>150+63.25</f>
        <v>213.25</v>
      </c>
      <c r="C207" s="128" t="s">
        <v>342</v>
      </c>
      <c r="D207" s="188">
        <f>236102.05+21053+5964.98+4074.69+1274.47+563.44+650.94+6529.45+500+3267.09</f>
        <v>279980.11</v>
      </c>
      <c r="E207" s="105" t="s">
        <v>87</v>
      </c>
      <c r="F207" s="266"/>
      <c r="G207" s="274"/>
      <c r="H207" s="57"/>
      <c r="I207" s="14"/>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row>
    <row r="208" spans="1:114" s="46" customFormat="1" ht="19.5" customHeight="1">
      <c r="A208" s="260"/>
      <c r="B208" s="262"/>
      <c r="C208" s="149" t="s">
        <v>118</v>
      </c>
      <c r="D208" s="60"/>
      <c r="E208" s="105"/>
      <c r="F208" s="270"/>
      <c r="G208" s="275"/>
      <c r="H208" s="57"/>
      <c r="I208" s="14"/>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row>
    <row r="209" spans="1:114" s="46" customFormat="1" ht="19.5" customHeight="1">
      <c r="A209" s="260"/>
      <c r="B209" s="262"/>
      <c r="C209" s="21" t="s">
        <v>85</v>
      </c>
      <c r="D209" s="245">
        <v>27578.25</v>
      </c>
      <c r="E209" s="125" t="s">
        <v>86</v>
      </c>
      <c r="F209" s="270"/>
      <c r="G209" s="275"/>
      <c r="H209" s="57"/>
      <c r="I209" s="14"/>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row>
    <row r="210" spans="1:114" s="46" customFormat="1" ht="33.75" customHeight="1">
      <c r="A210" s="260"/>
      <c r="B210" s="262"/>
      <c r="C210" s="149" t="s">
        <v>254</v>
      </c>
      <c r="D210" s="230">
        <f>1220+5083.23</f>
        <v>6303.23</v>
      </c>
      <c r="E210" s="105" t="s">
        <v>198</v>
      </c>
      <c r="F210" s="270"/>
      <c r="G210" s="275"/>
      <c r="H210" s="57"/>
      <c r="I210" s="14"/>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row>
    <row r="211" spans="1:114" s="46" customFormat="1" ht="39.75" customHeight="1">
      <c r="A211" s="260"/>
      <c r="B211" s="262"/>
      <c r="C211" s="149" t="s">
        <v>176</v>
      </c>
      <c r="D211" s="223">
        <f>1314+4080+432</f>
        <v>5826</v>
      </c>
      <c r="E211" s="105" t="s">
        <v>175</v>
      </c>
      <c r="F211" s="270"/>
      <c r="G211" s="275"/>
      <c r="H211" s="57"/>
      <c r="I211" s="14"/>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row>
    <row r="212" spans="1:114" s="46" customFormat="1" ht="53.25" customHeight="1">
      <c r="A212" s="255"/>
      <c r="B212" s="265"/>
      <c r="C212" s="114" t="s">
        <v>162</v>
      </c>
      <c r="D212" s="192">
        <f>7740+6242</f>
        <v>13982</v>
      </c>
      <c r="E212" s="59" t="s">
        <v>131</v>
      </c>
      <c r="F212" s="267"/>
      <c r="G212" s="276"/>
      <c r="H212" s="8"/>
      <c r="I212" s="8"/>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row>
    <row r="213" spans="1:114" s="46" customFormat="1" ht="21.75" customHeight="1">
      <c r="A213" s="153" t="s">
        <v>15</v>
      </c>
      <c r="B213" s="22">
        <f>B207</f>
        <v>213.25</v>
      </c>
      <c r="C213" s="2"/>
      <c r="D213" s="23">
        <f>SUM(D207:D212)</f>
        <v>333669.58999999997</v>
      </c>
      <c r="E213" s="59"/>
      <c r="F213" s="9">
        <f>F207</f>
        <v>0</v>
      </c>
      <c r="G213" s="41"/>
      <c r="H213" s="8">
        <f>SUM(H207:H212)</f>
        <v>0</v>
      </c>
      <c r="I213" s="8"/>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row>
    <row r="214" spans="1:114" s="46" customFormat="1" ht="21" customHeight="1">
      <c r="A214" s="254" t="s">
        <v>78</v>
      </c>
      <c r="B214" s="261"/>
      <c r="C214" s="156" t="s">
        <v>81</v>
      </c>
      <c r="D214" s="202">
        <v>673.92</v>
      </c>
      <c r="E214" s="105" t="s">
        <v>91</v>
      </c>
      <c r="F214" s="126"/>
      <c r="G214" s="119"/>
      <c r="H214" s="8"/>
      <c r="I214" s="8"/>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row>
    <row r="215" spans="1:114" s="46" customFormat="1" ht="24.75" customHeight="1">
      <c r="A215" s="260"/>
      <c r="B215" s="262"/>
      <c r="C215" s="128" t="s">
        <v>81</v>
      </c>
      <c r="D215" s="203">
        <v>2560.9</v>
      </c>
      <c r="E215" s="59" t="s">
        <v>92</v>
      </c>
      <c r="F215" s="126"/>
      <c r="G215" s="119"/>
      <c r="H215" s="8"/>
      <c r="I215" s="8"/>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row>
    <row r="216" spans="1:114" s="46" customFormat="1" ht="54" customHeight="1">
      <c r="A216" s="260"/>
      <c r="B216" s="262"/>
      <c r="C216" s="136" t="s">
        <v>93</v>
      </c>
      <c r="D216" s="225">
        <v>165000</v>
      </c>
      <c r="E216" s="135" t="s">
        <v>97</v>
      </c>
      <c r="F216" s="126"/>
      <c r="G216" s="119"/>
      <c r="H216" s="8"/>
      <c r="I216" s="8"/>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row>
    <row r="217" spans="1:114" s="46" customFormat="1" ht="144.75" customHeight="1">
      <c r="A217" s="260"/>
      <c r="B217" s="262"/>
      <c r="C217" s="128" t="s">
        <v>345</v>
      </c>
      <c r="D217" s="186">
        <f>637855.98+111776+6725.49+6529.45+27943.14+3267.09</f>
        <v>794097.1499999999</v>
      </c>
      <c r="E217" s="105" t="s">
        <v>87</v>
      </c>
      <c r="F217" s="266"/>
      <c r="G217" s="268"/>
      <c r="H217" s="59"/>
      <c r="I217" s="94"/>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row>
    <row r="218" spans="1:114" s="46" customFormat="1" ht="22.5" customHeight="1">
      <c r="A218" s="260"/>
      <c r="B218" s="262"/>
      <c r="C218" s="156" t="s">
        <v>143</v>
      </c>
      <c r="D218" s="193">
        <f>75+544</f>
        <v>619</v>
      </c>
      <c r="E218" s="105" t="s">
        <v>108</v>
      </c>
      <c r="F218" s="270"/>
      <c r="G218" s="271"/>
      <c r="H218" s="59"/>
      <c r="I218" s="94"/>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row>
    <row r="219" spans="1:114" s="46" customFormat="1" ht="25.5">
      <c r="A219" s="255"/>
      <c r="B219" s="265"/>
      <c r="C219" s="162" t="s">
        <v>254</v>
      </c>
      <c r="D219" s="231">
        <f>3172+5083.23</f>
        <v>8255.23</v>
      </c>
      <c r="E219" s="105" t="s">
        <v>198</v>
      </c>
      <c r="F219" s="267"/>
      <c r="G219" s="269"/>
      <c r="H219" s="8"/>
      <c r="I219" s="8"/>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row>
    <row r="220" spans="1:114" s="46" customFormat="1" ht="19.5" customHeight="1">
      <c r="A220" s="153" t="s">
        <v>15</v>
      </c>
      <c r="B220" s="22">
        <f>SUM(B214)</f>
        <v>0</v>
      </c>
      <c r="C220" s="2"/>
      <c r="D220" s="23">
        <f>SUM(D214:D219)</f>
        <v>971206.2</v>
      </c>
      <c r="E220" s="59"/>
      <c r="F220" s="9">
        <f>F217</f>
        <v>0</v>
      </c>
      <c r="G220" s="41"/>
      <c r="H220" s="8">
        <f>SUM(H217:H219)</f>
        <v>0</v>
      </c>
      <c r="I220" s="8"/>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row>
    <row r="221" spans="1:114" s="46" customFormat="1" ht="20.25" customHeight="1" hidden="1">
      <c r="A221" s="254" t="s">
        <v>39</v>
      </c>
      <c r="B221" s="261"/>
      <c r="C221" s="272"/>
      <c r="D221" s="83"/>
      <c r="E221" s="16"/>
      <c r="F221" s="266"/>
      <c r="G221" s="268"/>
      <c r="H221" s="57"/>
      <c r="I221" s="14"/>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row>
    <row r="222" spans="1:114" s="46" customFormat="1" ht="0.75" customHeight="1" hidden="1">
      <c r="A222" s="260"/>
      <c r="B222" s="262"/>
      <c r="C222" s="273"/>
      <c r="D222" s="88"/>
      <c r="E222" s="88"/>
      <c r="F222" s="270"/>
      <c r="G222" s="271"/>
      <c r="H222" s="8"/>
      <c r="I222" s="8"/>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row>
    <row r="223" spans="1:114" s="46" customFormat="1" ht="20.25" customHeight="1" hidden="1">
      <c r="A223" s="255"/>
      <c r="B223" s="265"/>
      <c r="C223" s="152"/>
      <c r="D223" s="59"/>
      <c r="E223" s="78"/>
      <c r="F223" s="267"/>
      <c r="G223" s="269"/>
      <c r="H223" s="8"/>
      <c r="I223" s="8"/>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row>
    <row r="224" spans="1:114" s="46" customFormat="1" ht="19.5" customHeight="1" hidden="1">
      <c r="A224" s="153" t="s">
        <v>15</v>
      </c>
      <c r="B224" s="22">
        <f>SUM(B221)</f>
        <v>0</v>
      </c>
      <c r="C224" s="2"/>
      <c r="D224" s="23">
        <f>SUM(D221:D223)</f>
        <v>0</v>
      </c>
      <c r="E224" s="59"/>
      <c r="F224" s="9">
        <f>F221</f>
        <v>0</v>
      </c>
      <c r="G224" s="41"/>
      <c r="H224" s="8">
        <f>SUM(H221:H223)</f>
        <v>0</v>
      </c>
      <c r="I224" s="8"/>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5"/>
      <c r="CK224" s="45"/>
      <c r="CL224" s="45"/>
      <c r="CM224" s="45"/>
      <c r="CN224" s="45"/>
      <c r="CO224" s="45"/>
      <c r="CP224" s="45"/>
      <c r="CQ224" s="45"/>
      <c r="CR224" s="45"/>
      <c r="CS224" s="45"/>
      <c r="CT224" s="45"/>
      <c r="CU224" s="45"/>
      <c r="CV224" s="45"/>
      <c r="CW224" s="45"/>
      <c r="CX224" s="45"/>
      <c r="CY224" s="45"/>
      <c r="CZ224" s="45"/>
      <c r="DA224" s="45"/>
      <c r="DB224" s="45"/>
      <c r="DC224" s="45"/>
      <c r="DD224" s="45"/>
      <c r="DE224" s="45"/>
      <c r="DF224" s="45"/>
      <c r="DG224" s="45"/>
      <c r="DH224" s="45"/>
      <c r="DI224" s="45"/>
      <c r="DJ224" s="45"/>
    </row>
    <row r="225" spans="1:114" s="46" customFormat="1" ht="27.75" customHeight="1">
      <c r="A225" s="254" t="s">
        <v>40</v>
      </c>
      <c r="B225" s="261">
        <v>120</v>
      </c>
      <c r="C225" s="156" t="s">
        <v>81</v>
      </c>
      <c r="D225" s="202">
        <v>673.92</v>
      </c>
      <c r="E225" s="105" t="s">
        <v>91</v>
      </c>
      <c r="F225" s="126"/>
      <c r="G225" s="119"/>
      <c r="H225" s="8"/>
      <c r="I225" s="8"/>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row>
    <row r="226" spans="1:114" s="46" customFormat="1" ht="24.75" customHeight="1">
      <c r="A226" s="260"/>
      <c r="B226" s="262"/>
      <c r="C226" s="128" t="s">
        <v>81</v>
      </c>
      <c r="D226" s="203">
        <v>1920.47</v>
      </c>
      <c r="E226" s="59" t="s">
        <v>92</v>
      </c>
      <c r="F226" s="126"/>
      <c r="G226" s="119"/>
      <c r="H226" s="8"/>
      <c r="I226" s="8"/>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row>
    <row r="227" spans="1:114" s="46" customFormat="1" ht="61.5" customHeight="1">
      <c r="A227" s="260"/>
      <c r="B227" s="262"/>
      <c r="C227" s="136" t="s">
        <v>93</v>
      </c>
      <c r="D227" s="225">
        <v>165000</v>
      </c>
      <c r="E227" s="135" t="s">
        <v>97</v>
      </c>
      <c r="F227" s="266"/>
      <c r="G227" s="268"/>
      <c r="H227" s="57"/>
      <c r="I227" s="14"/>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row>
    <row r="228" spans="1:114" s="46" customFormat="1" ht="175.5" customHeight="1">
      <c r="A228" s="260"/>
      <c r="B228" s="262"/>
      <c r="C228" s="128" t="s">
        <v>346</v>
      </c>
      <c r="D228" s="186">
        <f>461135.58+31529.18+140.43+557.32+4074.69+12744.7+563.44+6529.45+65200.66+3267.09</f>
        <v>585742.54</v>
      </c>
      <c r="E228" s="105" t="s">
        <v>87</v>
      </c>
      <c r="F228" s="270"/>
      <c r="G228" s="271"/>
      <c r="H228" s="57"/>
      <c r="I228" s="14"/>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c r="CO228" s="45"/>
      <c r="CP228" s="45"/>
      <c r="CQ228" s="45"/>
      <c r="CR228" s="45"/>
      <c r="CS228" s="45"/>
      <c r="CT228" s="45"/>
      <c r="CU228" s="45"/>
      <c r="CV228" s="45"/>
      <c r="CW228" s="45"/>
      <c r="CX228" s="45"/>
      <c r="CY228" s="45"/>
      <c r="CZ228" s="45"/>
      <c r="DA228" s="45"/>
      <c r="DB228" s="45"/>
      <c r="DC228" s="45"/>
      <c r="DD228" s="45"/>
      <c r="DE228" s="45"/>
      <c r="DF228" s="45"/>
      <c r="DG228" s="45"/>
      <c r="DH228" s="45"/>
      <c r="DI228" s="45"/>
      <c r="DJ228" s="45"/>
    </row>
    <row r="229" spans="1:114" s="46" customFormat="1" ht="25.5" customHeight="1">
      <c r="A229" s="260"/>
      <c r="B229" s="262"/>
      <c r="C229" s="21" t="s">
        <v>85</v>
      </c>
      <c r="D229" s="245">
        <v>18385.5</v>
      </c>
      <c r="E229" s="125" t="s">
        <v>86</v>
      </c>
      <c r="F229" s="270"/>
      <c r="G229" s="271"/>
      <c r="H229" s="57"/>
      <c r="I229" s="14"/>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c r="CR229" s="45"/>
      <c r="CS229" s="45"/>
      <c r="CT229" s="45"/>
      <c r="CU229" s="45"/>
      <c r="CV229" s="45"/>
      <c r="CW229" s="45"/>
      <c r="CX229" s="45"/>
      <c r="CY229" s="45"/>
      <c r="CZ229" s="45"/>
      <c r="DA229" s="45"/>
      <c r="DB229" s="45"/>
      <c r="DC229" s="45"/>
      <c r="DD229" s="45"/>
      <c r="DE229" s="45"/>
      <c r="DF229" s="45"/>
      <c r="DG229" s="45"/>
      <c r="DH229" s="45"/>
      <c r="DI229" s="45"/>
      <c r="DJ229" s="45"/>
    </row>
    <row r="230" spans="1:114" s="46" customFormat="1" ht="26.25" customHeight="1">
      <c r="A230" s="260"/>
      <c r="B230" s="262"/>
      <c r="C230" s="128" t="s">
        <v>254</v>
      </c>
      <c r="D230" s="233">
        <f>9760+5083.23</f>
        <v>14843.23</v>
      </c>
      <c r="E230" s="105" t="s">
        <v>198</v>
      </c>
      <c r="F230" s="270"/>
      <c r="G230" s="271"/>
      <c r="H230" s="57"/>
      <c r="I230" s="14"/>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row>
    <row r="231" spans="1:114" s="46" customFormat="1" ht="21.75" customHeight="1">
      <c r="A231" s="260"/>
      <c r="B231" s="262"/>
      <c r="C231" s="156" t="s">
        <v>81</v>
      </c>
      <c r="D231" s="122">
        <v>960</v>
      </c>
      <c r="E231" s="105" t="s">
        <v>117</v>
      </c>
      <c r="F231" s="270"/>
      <c r="G231" s="271"/>
      <c r="H231" s="57"/>
      <c r="I231" s="14"/>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row>
    <row r="232" spans="1:114" s="46" customFormat="1" ht="27" customHeight="1">
      <c r="A232" s="260"/>
      <c r="B232" s="262"/>
      <c r="C232" s="156" t="s">
        <v>155</v>
      </c>
      <c r="D232" s="194">
        <v>40</v>
      </c>
      <c r="E232" s="105" t="s">
        <v>108</v>
      </c>
      <c r="F232" s="270"/>
      <c r="G232" s="271"/>
      <c r="H232" s="57"/>
      <c r="I232" s="14"/>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c r="CW232" s="45"/>
      <c r="CX232" s="45"/>
      <c r="CY232" s="45"/>
      <c r="CZ232" s="45"/>
      <c r="DA232" s="45"/>
      <c r="DB232" s="45"/>
      <c r="DC232" s="45"/>
      <c r="DD232" s="45"/>
      <c r="DE232" s="45"/>
      <c r="DF232" s="45"/>
      <c r="DG232" s="45"/>
      <c r="DH232" s="45"/>
      <c r="DI232" s="45"/>
      <c r="DJ232" s="45"/>
    </row>
    <row r="233" spans="1:114" s="46" customFormat="1" ht="20.25" customHeight="1">
      <c r="A233" s="255"/>
      <c r="B233" s="265"/>
      <c r="C233" s="158" t="s">
        <v>194</v>
      </c>
      <c r="D233" s="122"/>
      <c r="E233" s="109"/>
      <c r="F233" s="267"/>
      <c r="G233" s="269"/>
      <c r="H233" s="8"/>
      <c r="I233" s="8"/>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45"/>
      <c r="CA233" s="45"/>
      <c r="CB233" s="45"/>
      <c r="CC233" s="45"/>
      <c r="CD233" s="45"/>
      <c r="CE233" s="45"/>
      <c r="CF233" s="45"/>
      <c r="CG233" s="45"/>
      <c r="CH233" s="45"/>
      <c r="CI233" s="45"/>
      <c r="CJ233" s="45"/>
      <c r="CK233" s="45"/>
      <c r="CL233" s="45"/>
      <c r="CM233" s="45"/>
      <c r="CN233" s="45"/>
      <c r="CO233" s="45"/>
      <c r="CP233" s="45"/>
      <c r="CQ233" s="45"/>
      <c r="CR233" s="45"/>
      <c r="CS233" s="45"/>
      <c r="CT233" s="45"/>
      <c r="CU233" s="45"/>
      <c r="CV233" s="45"/>
      <c r="CW233" s="45"/>
      <c r="CX233" s="45"/>
      <c r="CY233" s="45"/>
      <c r="CZ233" s="45"/>
      <c r="DA233" s="45"/>
      <c r="DB233" s="45"/>
      <c r="DC233" s="45"/>
      <c r="DD233" s="45"/>
      <c r="DE233" s="45"/>
      <c r="DF233" s="45"/>
      <c r="DG233" s="45"/>
      <c r="DH233" s="45"/>
      <c r="DI233" s="45"/>
      <c r="DJ233" s="45"/>
    </row>
    <row r="234" spans="1:114" s="46" customFormat="1" ht="21" customHeight="1">
      <c r="A234" s="153" t="s">
        <v>15</v>
      </c>
      <c r="B234" s="22">
        <f>SUM(B225)</f>
        <v>120</v>
      </c>
      <c r="C234" s="2"/>
      <c r="D234" s="23">
        <f>SUM(D225:D233)</f>
        <v>787565.66</v>
      </c>
      <c r="E234" s="103"/>
      <c r="F234" s="9">
        <f>F227</f>
        <v>0</v>
      </c>
      <c r="G234" s="41"/>
      <c r="H234" s="8">
        <f>SUM(H227:H233)</f>
        <v>0</v>
      </c>
      <c r="I234" s="8"/>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45"/>
      <c r="CA234" s="45"/>
      <c r="CB234" s="45"/>
      <c r="CC234" s="45"/>
      <c r="CD234" s="45"/>
      <c r="CE234" s="45"/>
      <c r="CF234" s="45"/>
      <c r="CG234" s="45"/>
      <c r="CH234" s="45"/>
      <c r="CI234" s="45"/>
      <c r="CJ234" s="45"/>
      <c r="CK234" s="45"/>
      <c r="CL234" s="45"/>
      <c r="CM234" s="45"/>
      <c r="CN234" s="45"/>
      <c r="CO234" s="45"/>
      <c r="CP234" s="45"/>
      <c r="CQ234" s="45"/>
      <c r="CR234" s="45"/>
      <c r="CS234" s="45"/>
      <c r="CT234" s="45"/>
      <c r="CU234" s="45"/>
      <c r="CV234" s="45"/>
      <c r="CW234" s="45"/>
      <c r="CX234" s="45"/>
      <c r="CY234" s="45"/>
      <c r="CZ234" s="45"/>
      <c r="DA234" s="45"/>
      <c r="DB234" s="45"/>
      <c r="DC234" s="45"/>
      <c r="DD234" s="45"/>
      <c r="DE234" s="45"/>
      <c r="DF234" s="45"/>
      <c r="DG234" s="45"/>
      <c r="DH234" s="45"/>
      <c r="DI234" s="45"/>
      <c r="DJ234" s="45"/>
    </row>
    <row r="235" spans="1:114" s="46" customFormat="1" ht="167.25" customHeight="1">
      <c r="A235" s="254" t="s">
        <v>31</v>
      </c>
      <c r="B235" s="261"/>
      <c r="C235" s="156" t="s">
        <v>347</v>
      </c>
      <c r="D235" s="187">
        <f>265899.98+3964.95+18066.76+17882.44+3413.25+6529.45+27943.14+4555.6</f>
        <v>348255.57</v>
      </c>
      <c r="E235" s="105" t="s">
        <v>87</v>
      </c>
      <c r="F235" s="266"/>
      <c r="G235" s="268"/>
      <c r="H235" s="57"/>
      <c r="I235" s="14"/>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5"/>
      <c r="CN235" s="45"/>
      <c r="CO235" s="45"/>
      <c r="CP235" s="45"/>
      <c r="CQ235" s="45"/>
      <c r="CR235" s="45"/>
      <c r="CS235" s="45"/>
      <c r="CT235" s="45"/>
      <c r="CU235" s="45"/>
      <c r="CV235" s="45"/>
      <c r="CW235" s="45"/>
      <c r="CX235" s="45"/>
      <c r="CY235" s="45"/>
      <c r="CZ235" s="45"/>
      <c r="DA235" s="45"/>
      <c r="DB235" s="45"/>
      <c r="DC235" s="45"/>
      <c r="DD235" s="45"/>
      <c r="DE235" s="45"/>
      <c r="DF235" s="45"/>
      <c r="DG235" s="45"/>
      <c r="DH235" s="45"/>
      <c r="DI235" s="45"/>
      <c r="DJ235" s="45"/>
    </row>
    <row r="236" spans="1:114" s="46" customFormat="1" ht="27.75" customHeight="1">
      <c r="A236" s="260"/>
      <c r="B236" s="262"/>
      <c r="C236" s="21" t="s">
        <v>85</v>
      </c>
      <c r="D236" s="245">
        <v>110313</v>
      </c>
      <c r="E236" s="125" t="s">
        <v>86</v>
      </c>
      <c r="F236" s="270"/>
      <c r="G236" s="271"/>
      <c r="H236" s="57"/>
      <c r="I236" s="14"/>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c r="CJ236" s="45"/>
      <c r="CK236" s="45"/>
      <c r="CL236" s="45"/>
      <c r="CM236" s="45"/>
      <c r="CN236" s="45"/>
      <c r="CO236" s="45"/>
      <c r="CP236" s="45"/>
      <c r="CQ236" s="45"/>
      <c r="CR236" s="45"/>
      <c r="CS236" s="45"/>
      <c r="CT236" s="45"/>
      <c r="CU236" s="45"/>
      <c r="CV236" s="45"/>
      <c r="CW236" s="45"/>
      <c r="CX236" s="45"/>
      <c r="CY236" s="45"/>
      <c r="CZ236" s="45"/>
      <c r="DA236" s="45"/>
      <c r="DB236" s="45"/>
      <c r="DC236" s="45"/>
      <c r="DD236" s="45"/>
      <c r="DE236" s="45"/>
      <c r="DF236" s="45"/>
      <c r="DG236" s="45"/>
      <c r="DH236" s="45"/>
      <c r="DI236" s="45"/>
      <c r="DJ236" s="45"/>
    </row>
    <row r="237" spans="1:114" s="46" customFormat="1" ht="37.5" customHeight="1">
      <c r="A237" s="255"/>
      <c r="B237" s="265"/>
      <c r="C237" s="168" t="s">
        <v>254</v>
      </c>
      <c r="D237" s="228">
        <f>3050+5083.23</f>
        <v>8133.23</v>
      </c>
      <c r="E237" s="122" t="s">
        <v>198</v>
      </c>
      <c r="F237" s="267"/>
      <c r="G237" s="269"/>
      <c r="H237" s="8"/>
      <c r="I237" s="8"/>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5"/>
      <c r="CN237" s="45"/>
      <c r="CO237" s="45"/>
      <c r="CP237" s="45"/>
      <c r="CQ237" s="45"/>
      <c r="CR237" s="45"/>
      <c r="CS237" s="45"/>
      <c r="CT237" s="45"/>
      <c r="CU237" s="45"/>
      <c r="CV237" s="45"/>
      <c r="CW237" s="45"/>
      <c r="CX237" s="45"/>
      <c r="CY237" s="45"/>
      <c r="CZ237" s="45"/>
      <c r="DA237" s="45"/>
      <c r="DB237" s="45"/>
      <c r="DC237" s="45"/>
      <c r="DD237" s="45"/>
      <c r="DE237" s="45"/>
      <c r="DF237" s="45"/>
      <c r="DG237" s="45"/>
      <c r="DH237" s="45"/>
      <c r="DI237" s="45"/>
      <c r="DJ237" s="45"/>
    </row>
    <row r="238" spans="1:114" s="46" customFormat="1" ht="18.75" customHeight="1">
      <c r="A238" s="153" t="s">
        <v>15</v>
      </c>
      <c r="B238" s="22">
        <f>B235</f>
        <v>0</v>
      </c>
      <c r="C238" s="2"/>
      <c r="D238" s="23">
        <f>SUM(D235:D237)</f>
        <v>466701.8</v>
      </c>
      <c r="E238" s="22"/>
      <c r="F238" s="9">
        <f>F235</f>
        <v>0</v>
      </c>
      <c r="G238" s="41"/>
      <c r="H238" s="8">
        <f>SUM(H235:H237)</f>
        <v>0</v>
      </c>
      <c r="I238" s="8"/>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c r="CA238" s="45"/>
      <c r="CB238" s="45"/>
      <c r="CC238" s="45"/>
      <c r="CD238" s="45"/>
      <c r="CE238" s="45"/>
      <c r="CF238" s="45"/>
      <c r="CG238" s="45"/>
      <c r="CH238" s="45"/>
      <c r="CI238" s="45"/>
      <c r="CJ238" s="45"/>
      <c r="CK238" s="45"/>
      <c r="CL238" s="45"/>
      <c r="CM238" s="45"/>
      <c r="CN238" s="45"/>
      <c r="CO238" s="45"/>
      <c r="CP238" s="45"/>
      <c r="CQ238" s="45"/>
      <c r="CR238" s="45"/>
      <c r="CS238" s="45"/>
      <c r="CT238" s="45"/>
      <c r="CU238" s="45"/>
      <c r="CV238" s="45"/>
      <c r="CW238" s="45"/>
      <c r="CX238" s="45"/>
      <c r="CY238" s="45"/>
      <c r="CZ238" s="45"/>
      <c r="DA238" s="45"/>
      <c r="DB238" s="45"/>
      <c r="DC238" s="45"/>
      <c r="DD238" s="45"/>
      <c r="DE238" s="45"/>
      <c r="DF238" s="45"/>
      <c r="DG238" s="45"/>
      <c r="DH238" s="45"/>
      <c r="DI238" s="45"/>
      <c r="DJ238" s="45"/>
    </row>
    <row r="239" spans="1:114" s="46" customFormat="1" ht="201" customHeight="1">
      <c r="A239" s="254" t="s">
        <v>41</v>
      </c>
      <c r="B239" s="261">
        <f>420+26400+24</f>
        <v>26844</v>
      </c>
      <c r="C239" s="156" t="s">
        <v>348</v>
      </c>
      <c r="D239" s="187">
        <f>441879.3+29824.9+4074.69+5097.88+704.3+697.75+6529.45+9314.38+3267.09</f>
        <v>501389.74000000005</v>
      </c>
      <c r="E239" s="105" t="s">
        <v>87</v>
      </c>
      <c r="F239" s="266"/>
      <c r="G239" s="268"/>
      <c r="H239" s="8"/>
      <c r="I239" s="8"/>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5"/>
      <c r="BZ239" s="45"/>
      <c r="CA239" s="45"/>
      <c r="CB239" s="45"/>
      <c r="CC239" s="45"/>
      <c r="CD239" s="45"/>
      <c r="CE239" s="45"/>
      <c r="CF239" s="45"/>
      <c r="CG239" s="45"/>
      <c r="CH239" s="45"/>
      <c r="CI239" s="45"/>
      <c r="CJ239" s="45"/>
      <c r="CK239" s="45"/>
      <c r="CL239" s="45"/>
      <c r="CM239" s="45"/>
      <c r="CN239" s="45"/>
      <c r="CO239" s="45"/>
      <c r="CP239" s="45"/>
      <c r="CQ239" s="45"/>
      <c r="CR239" s="45"/>
      <c r="CS239" s="45"/>
      <c r="CT239" s="45"/>
      <c r="CU239" s="45"/>
      <c r="CV239" s="45"/>
      <c r="CW239" s="45"/>
      <c r="CX239" s="45"/>
      <c r="CY239" s="45"/>
      <c r="CZ239" s="45"/>
      <c r="DA239" s="45"/>
      <c r="DB239" s="45"/>
      <c r="DC239" s="45"/>
      <c r="DD239" s="45"/>
      <c r="DE239" s="45"/>
      <c r="DF239" s="45"/>
      <c r="DG239" s="45"/>
      <c r="DH239" s="45"/>
      <c r="DI239" s="45"/>
      <c r="DJ239" s="45"/>
    </row>
    <row r="240" spans="1:114" s="46" customFormat="1" ht="56.25" customHeight="1">
      <c r="A240" s="260"/>
      <c r="B240" s="262"/>
      <c r="C240" s="128" t="s">
        <v>163</v>
      </c>
      <c r="D240" s="191">
        <f>6420+8100+370</f>
        <v>14890</v>
      </c>
      <c r="E240" s="105" t="s">
        <v>108</v>
      </c>
      <c r="F240" s="270"/>
      <c r="G240" s="271"/>
      <c r="H240" s="8"/>
      <c r="I240" s="8"/>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c r="BK240" s="45"/>
      <c r="BL240" s="45"/>
      <c r="BM240" s="45"/>
      <c r="BN240" s="45"/>
      <c r="BO240" s="45"/>
      <c r="BP240" s="45"/>
      <c r="BQ240" s="45"/>
      <c r="BR240" s="45"/>
      <c r="BS240" s="45"/>
      <c r="BT240" s="45"/>
      <c r="BU240" s="45"/>
      <c r="BV240" s="45"/>
      <c r="BW240" s="45"/>
      <c r="BX240" s="45"/>
      <c r="BY240" s="45"/>
      <c r="BZ240" s="45"/>
      <c r="CA240" s="45"/>
      <c r="CB240" s="45"/>
      <c r="CC240" s="45"/>
      <c r="CD240" s="45"/>
      <c r="CE240" s="45"/>
      <c r="CF240" s="45"/>
      <c r="CG240" s="45"/>
      <c r="CH240" s="45"/>
      <c r="CI240" s="45"/>
      <c r="CJ240" s="45"/>
      <c r="CK240" s="45"/>
      <c r="CL240" s="45"/>
      <c r="CM240" s="45"/>
      <c r="CN240" s="45"/>
      <c r="CO240" s="45"/>
      <c r="CP240" s="45"/>
      <c r="CQ240" s="45"/>
      <c r="CR240" s="45"/>
      <c r="CS240" s="45"/>
      <c r="CT240" s="45"/>
      <c r="CU240" s="45"/>
      <c r="CV240" s="45"/>
      <c r="CW240" s="45"/>
      <c r="CX240" s="45"/>
      <c r="CY240" s="45"/>
      <c r="CZ240" s="45"/>
      <c r="DA240" s="45"/>
      <c r="DB240" s="45"/>
      <c r="DC240" s="45"/>
      <c r="DD240" s="45"/>
      <c r="DE240" s="45"/>
      <c r="DF240" s="45"/>
      <c r="DG240" s="45"/>
      <c r="DH240" s="45"/>
      <c r="DI240" s="45"/>
      <c r="DJ240" s="45"/>
    </row>
    <row r="241" spans="1:114" s="46" customFormat="1" ht="20.25" customHeight="1">
      <c r="A241" s="260"/>
      <c r="B241" s="262"/>
      <c r="C241" s="21" t="s">
        <v>85</v>
      </c>
      <c r="D241" s="245">
        <v>36771</v>
      </c>
      <c r="E241" s="125" t="s">
        <v>86</v>
      </c>
      <c r="F241" s="270"/>
      <c r="G241" s="271"/>
      <c r="H241" s="8"/>
      <c r="I241" s="8"/>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c r="BJ241" s="45"/>
      <c r="BK241" s="45"/>
      <c r="BL241" s="45"/>
      <c r="BM241" s="45"/>
      <c r="BN241" s="45"/>
      <c r="BO241" s="45"/>
      <c r="BP241" s="45"/>
      <c r="BQ241" s="45"/>
      <c r="BR241" s="45"/>
      <c r="BS241" s="45"/>
      <c r="BT241" s="45"/>
      <c r="BU241" s="45"/>
      <c r="BV241" s="45"/>
      <c r="BW241" s="45"/>
      <c r="BX241" s="45"/>
      <c r="BY241" s="45"/>
      <c r="BZ241" s="45"/>
      <c r="CA241" s="45"/>
      <c r="CB241" s="45"/>
      <c r="CC241" s="45"/>
      <c r="CD241" s="45"/>
      <c r="CE241" s="45"/>
      <c r="CF241" s="45"/>
      <c r="CG241" s="45"/>
      <c r="CH241" s="45"/>
      <c r="CI241" s="45"/>
      <c r="CJ241" s="45"/>
      <c r="CK241" s="45"/>
      <c r="CL241" s="45"/>
      <c r="CM241" s="45"/>
      <c r="CN241" s="45"/>
      <c r="CO241" s="45"/>
      <c r="CP241" s="45"/>
      <c r="CQ241" s="45"/>
      <c r="CR241" s="45"/>
      <c r="CS241" s="45"/>
      <c r="CT241" s="45"/>
      <c r="CU241" s="45"/>
      <c r="CV241" s="45"/>
      <c r="CW241" s="45"/>
      <c r="CX241" s="45"/>
      <c r="CY241" s="45"/>
      <c r="CZ241" s="45"/>
      <c r="DA241" s="45"/>
      <c r="DB241" s="45"/>
      <c r="DC241" s="45"/>
      <c r="DD241" s="45"/>
      <c r="DE241" s="45"/>
      <c r="DF241" s="45"/>
      <c r="DG241" s="45"/>
      <c r="DH241" s="45"/>
      <c r="DI241" s="45"/>
      <c r="DJ241" s="45"/>
    </row>
    <row r="242" spans="1:114" s="46" customFormat="1" ht="57.75" customHeight="1">
      <c r="A242" s="260"/>
      <c r="B242" s="262"/>
      <c r="C242" s="136" t="s">
        <v>350</v>
      </c>
      <c r="D242" s="247">
        <f>4500+570870+21384+25515</f>
        <v>622269</v>
      </c>
      <c r="E242" s="125" t="s">
        <v>349</v>
      </c>
      <c r="F242" s="270"/>
      <c r="G242" s="271"/>
      <c r="H242" s="8"/>
      <c r="I242" s="8"/>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c r="BK242" s="45"/>
      <c r="BL242" s="45"/>
      <c r="BM242" s="45"/>
      <c r="BN242" s="45"/>
      <c r="BO242" s="45"/>
      <c r="BP242" s="45"/>
      <c r="BQ242" s="45"/>
      <c r="BR242" s="45"/>
      <c r="BS242" s="45"/>
      <c r="BT242" s="45"/>
      <c r="BU242" s="45"/>
      <c r="BV242" s="45"/>
      <c r="BW242" s="45"/>
      <c r="BX242" s="45"/>
      <c r="BY242" s="45"/>
      <c r="BZ242" s="45"/>
      <c r="CA242" s="45"/>
      <c r="CB242" s="45"/>
      <c r="CC242" s="45"/>
      <c r="CD242" s="45"/>
      <c r="CE242" s="45"/>
      <c r="CF242" s="45"/>
      <c r="CG242" s="45"/>
      <c r="CH242" s="45"/>
      <c r="CI242" s="45"/>
      <c r="CJ242" s="45"/>
      <c r="CK242" s="45"/>
      <c r="CL242" s="45"/>
      <c r="CM242" s="45"/>
      <c r="CN242" s="45"/>
      <c r="CO242" s="45"/>
      <c r="CP242" s="45"/>
      <c r="CQ242" s="45"/>
      <c r="CR242" s="45"/>
      <c r="CS242" s="45"/>
      <c r="CT242" s="45"/>
      <c r="CU242" s="45"/>
      <c r="CV242" s="45"/>
      <c r="CW242" s="45"/>
      <c r="CX242" s="45"/>
      <c r="CY242" s="45"/>
      <c r="CZ242" s="45"/>
      <c r="DA242" s="45"/>
      <c r="DB242" s="45"/>
      <c r="DC242" s="45"/>
      <c r="DD242" s="45"/>
      <c r="DE242" s="45"/>
      <c r="DF242" s="45"/>
      <c r="DG242" s="45"/>
      <c r="DH242" s="45"/>
      <c r="DI242" s="45"/>
      <c r="DJ242" s="45"/>
    </row>
    <row r="243" spans="1:114" s="46" customFormat="1" ht="37.5" customHeight="1">
      <c r="A243" s="260"/>
      <c r="B243" s="262"/>
      <c r="C243" s="136" t="s">
        <v>352</v>
      </c>
      <c r="D243" s="249">
        <v>8164.6</v>
      </c>
      <c r="E243" s="125" t="s">
        <v>351</v>
      </c>
      <c r="F243" s="270"/>
      <c r="G243" s="271"/>
      <c r="H243" s="8"/>
      <c r="I243" s="8"/>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5"/>
      <c r="CN243" s="45"/>
      <c r="CO243" s="45"/>
      <c r="CP243" s="45"/>
      <c r="CQ243" s="45"/>
      <c r="CR243" s="45"/>
      <c r="CS243" s="45"/>
      <c r="CT243" s="45"/>
      <c r="CU243" s="45"/>
      <c r="CV243" s="45"/>
      <c r="CW243" s="45"/>
      <c r="CX243" s="45"/>
      <c r="CY243" s="45"/>
      <c r="CZ243" s="45"/>
      <c r="DA243" s="45"/>
      <c r="DB243" s="45"/>
      <c r="DC243" s="45"/>
      <c r="DD243" s="45"/>
      <c r="DE243" s="45"/>
      <c r="DF243" s="45"/>
      <c r="DG243" s="45"/>
      <c r="DH243" s="45"/>
      <c r="DI243" s="45"/>
      <c r="DJ243" s="45"/>
    </row>
    <row r="244" spans="1:114" s="46" customFormat="1" ht="19.5" customHeight="1">
      <c r="A244" s="260"/>
      <c r="B244" s="262"/>
      <c r="C244" s="165" t="s">
        <v>195</v>
      </c>
      <c r="D244" s="109"/>
      <c r="E244" s="122"/>
      <c r="F244" s="270"/>
      <c r="G244" s="271"/>
      <c r="H244" s="8"/>
      <c r="I244" s="8"/>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c r="BN244" s="45"/>
      <c r="BO244" s="45"/>
      <c r="BP244" s="45"/>
      <c r="BQ244" s="45"/>
      <c r="BR244" s="45"/>
      <c r="BS244" s="45"/>
      <c r="BT244" s="45"/>
      <c r="BU244" s="45"/>
      <c r="BV244" s="45"/>
      <c r="BW244" s="45"/>
      <c r="BX244" s="45"/>
      <c r="BY244" s="45"/>
      <c r="BZ244" s="45"/>
      <c r="CA244" s="45"/>
      <c r="CB244" s="45"/>
      <c r="CC244" s="45"/>
      <c r="CD244" s="45"/>
      <c r="CE244" s="45"/>
      <c r="CF244" s="45"/>
      <c r="CG244" s="45"/>
      <c r="CH244" s="45"/>
      <c r="CI244" s="45"/>
      <c r="CJ244" s="45"/>
      <c r="CK244" s="45"/>
      <c r="CL244" s="45"/>
      <c r="CM244" s="45"/>
      <c r="CN244" s="45"/>
      <c r="CO244" s="45"/>
      <c r="CP244" s="45"/>
      <c r="CQ244" s="45"/>
      <c r="CR244" s="45"/>
      <c r="CS244" s="45"/>
      <c r="CT244" s="45"/>
      <c r="CU244" s="45"/>
      <c r="CV244" s="45"/>
      <c r="CW244" s="45"/>
      <c r="CX244" s="45"/>
      <c r="CY244" s="45"/>
      <c r="CZ244" s="45"/>
      <c r="DA244" s="45"/>
      <c r="DB244" s="45"/>
      <c r="DC244" s="45"/>
      <c r="DD244" s="45"/>
      <c r="DE244" s="45"/>
      <c r="DF244" s="45"/>
      <c r="DG244" s="45"/>
      <c r="DH244" s="45"/>
      <c r="DI244" s="45"/>
      <c r="DJ244" s="45"/>
    </row>
    <row r="245" spans="1:114" s="46" customFormat="1" ht="30" customHeight="1">
      <c r="A245" s="255"/>
      <c r="B245" s="265"/>
      <c r="C245" s="173" t="s">
        <v>254</v>
      </c>
      <c r="D245" s="232">
        <f>4270+5083.23</f>
        <v>9353.23</v>
      </c>
      <c r="E245" s="78" t="s">
        <v>198</v>
      </c>
      <c r="F245" s="267"/>
      <c r="G245" s="269"/>
      <c r="H245" s="59"/>
      <c r="I245" s="96"/>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c r="BN245" s="45"/>
      <c r="BO245" s="45"/>
      <c r="BP245" s="45"/>
      <c r="BQ245" s="45"/>
      <c r="BR245" s="45"/>
      <c r="BS245" s="45"/>
      <c r="BT245" s="45"/>
      <c r="BU245" s="45"/>
      <c r="BV245" s="45"/>
      <c r="BW245" s="45"/>
      <c r="BX245" s="45"/>
      <c r="BY245" s="45"/>
      <c r="BZ245" s="45"/>
      <c r="CA245" s="45"/>
      <c r="CB245" s="45"/>
      <c r="CC245" s="45"/>
      <c r="CD245" s="45"/>
      <c r="CE245" s="45"/>
      <c r="CF245" s="45"/>
      <c r="CG245" s="45"/>
      <c r="CH245" s="45"/>
      <c r="CI245" s="45"/>
      <c r="CJ245" s="45"/>
      <c r="CK245" s="45"/>
      <c r="CL245" s="45"/>
      <c r="CM245" s="45"/>
      <c r="CN245" s="45"/>
      <c r="CO245" s="45"/>
      <c r="CP245" s="45"/>
      <c r="CQ245" s="45"/>
      <c r="CR245" s="45"/>
      <c r="CS245" s="45"/>
      <c r="CT245" s="45"/>
      <c r="CU245" s="45"/>
      <c r="CV245" s="45"/>
      <c r="CW245" s="45"/>
      <c r="CX245" s="45"/>
      <c r="CY245" s="45"/>
      <c r="CZ245" s="45"/>
      <c r="DA245" s="45"/>
      <c r="DB245" s="45"/>
      <c r="DC245" s="45"/>
      <c r="DD245" s="45"/>
      <c r="DE245" s="45"/>
      <c r="DF245" s="45"/>
      <c r="DG245" s="45"/>
      <c r="DH245" s="45"/>
      <c r="DI245" s="45"/>
      <c r="DJ245" s="45"/>
    </row>
    <row r="246" spans="1:114" s="46" customFormat="1" ht="23.25" customHeight="1">
      <c r="A246" s="153" t="s">
        <v>15</v>
      </c>
      <c r="B246" s="22">
        <f>B239</f>
        <v>26844</v>
      </c>
      <c r="C246" s="2"/>
      <c r="D246" s="23">
        <f>SUM(D239:D245)</f>
        <v>1192837.57</v>
      </c>
      <c r="E246" s="103"/>
      <c r="F246" s="9">
        <f>F239</f>
        <v>0</v>
      </c>
      <c r="G246" s="41"/>
      <c r="H246" s="8">
        <f>SUM(H239:H245)</f>
        <v>0</v>
      </c>
      <c r="I246" s="8"/>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c r="BN246" s="45"/>
      <c r="BO246" s="45"/>
      <c r="BP246" s="45"/>
      <c r="BQ246" s="45"/>
      <c r="BR246" s="45"/>
      <c r="BS246" s="45"/>
      <c r="BT246" s="45"/>
      <c r="BU246" s="45"/>
      <c r="BV246" s="45"/>
      <c r="BW246" s="45"/>
      <c r="BX246" s="45"/>
      <c r="BY246" s="45"/>
      <c r="BZ246" s="45"/>
      <c r="CA246" s="45"/>
      <c r="CB246" s="45"/>
      <c r="CC246" s="45"/>
      <c r="CD246" s="45"/>
      <c r="CE246" s="45"/>
      <c r="CF246" s="45"/>
      <c r="CG246" s="45"/>
      <c r="CH246" s="45"/>
      <c r="CI246" s="45"/>
      <c r="CJ246" s="45"/>
      <c r="CK246" s="45"/>
      <c r="CL246" s="45"/>
      <c r="CM246" s="45"/>
      <c r="CN246" s="45"/>
      <c r="CO246" s="45"/>
      <c r="CP246" s="45"/>
      <c r="CQ246" s="45"/>
      <c r="CR246" s="45"/>
      <c r="CS246" s="45"/>
      <c r="CT246" s="45"/>
      <c r="CU246" s="45"/>
      <c r="CV246" s="45"/>
      <c r="CW246" s="45"/>
      <c r="CX246" s="45"/>
      <c r="CY246" s="45"/>
      <c r="CZ246" s="45"/>
      <c r="DA246" s="45"/>
      <c r="DB246" s="45"/>
      <c r="DC246" s="45"/>
      <c r="DD246" s="45"/>
      <c r="DE246" s="45"/>
      <c r="DF246" s="45"/>
      <c r="DG246" s="45"/>
      <c r="DH246" s="45"/>
      <c r="DI246" s="45"/>
      <c r="DJ246" s="45"/>
    </row>
    <row r="247" spans="1:114" s="46" customFormat="1" ht="22.5" customHeight="1">
      <c r="A247" s="258" t="s">
        <v>79</v>
      </c>
      <c r="B247" s="256"/>
      <c r="C247" s="21"/>
      <c r="D247" s="60"/>
      <c r="E247" s="125"/>
      <c r="F247" s="9"/>
      <c r="G247" s="41"/>
      <c r="H247" s="8"/>
      <c r="I247" s="8"/>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c r="BN247" s="45"/>
      <c r="BO247" s="45"/>
      <c r="BP247" s="45"/>
      <c r="BQ247" s="45"/>
      <c r="BR247" s="45"/>
      <c r="BS247" s="45"/>
      <c r="BT247" s="45"/>
      <c r="BU247" s="45"/>
      <c r="BV247" s="45"/>
      <c r="BW247" s="45"/>
      <c r="BX247" s="45"/>
      <c r="BY247" s="45"/>
      <c r="BZ247" s="45"/>
      <c r="CA247" s="45"/>
      <c r="CB247" s="45"/>
      <c r="CC247" s="45"/>
      <c r="CD247" s="45"/>
      <c r="CE247" s="45"/>
      <c r="CF247" s="45"/>
      <c r="CG247" s="45"/>
      <c r="CH247" s="45"/>
      <c r="CI247" s="45"/>
      <c r="CJ247" s="45"/>
      <c r="CK247" s="45"/>
      <c r="CL247" s="45"/>
      <c r="CM247" s="45"/>
      <c r="CN247" s="45"/>
      <c r="CO247" s="45"/>
      <c r="CP247" s="45"/>
      <c r="CQ247" s="45"/>
      <c r="CR247" s="45"/>
      <c r="CS247" s="45"/>
      <c r="CT247" s="45"/>
      <c r="CU247" s="45"/>
      <c r="CV247" s="45"/>
      <c r="CW247" s="45"/>
      <c r="CX247" s="45"/>
      <c r="CY247" s="45"/>
      <c r="CZ247" s="45"/>
      <c r="DA247" s="45"/>
      <c r="DB247" s="45"/>
      <c r="DC247" s="45"/>
      <c r="DD247" s="45"/>
      <c r="DE247" s="45"/>
      <c r="DF247" s="45"/>
      <c r="DG247" s="45"/>
      <c r="DH247" s="45"/>
      <c r="DI247" s="45"/>
      <c r="DJ247" s="45"/>
    </row>
    <row r="248" spans="1:114" s="46" customFormat="1" ht="16.5" customHeight="1">
      <c r="A248" s="263"/>
      <c r="B248" s="264"/>
      <c r="C248" s="128"/>
      <c r="D248" s="60"/>
      <c r="E248" s="178"/>
      <c r="F248" s="9"/>
      <c r="G248" s="41"/>
      <c r="H248" s="8"/>
      <c r="I248" s="8"/>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c r="BN248" s="45"/>
      <c r="BO248" s="45"/>
      <c r="BP248" s="45"/>
      <c r="BQ248" s="45"/>
      <c r="BR248" s="45"/>
      <c r="BS248" s="45"/>
      <c r="BT248" s="45"/>
      <c r="BU248" s="45"/>
      <c r="BV248" s="45"/>
      <c r="BW248" s="45"/>
      <c r="BX248" s="45"/>
      <c r="BY248" s="45"/>
      <c r="BZ248" s="45"/>
      <c r="CA248" s="45"/>
      <c r="CB248" s="45"/>
      <c r="CC248" s="45"/>
      <c r="CD248" s="45"/>
      <c r="CE248" s="45"/>
      <c r="CF248" s="45"/>
      <c r="CG248" s="45"/>
      <c r="CH248" s="45"/>
      <c r="CI248" s="45"/>
      <c r="CJ248" s="45"/>
      <c r="CK248" s="45"/>
      <c r="CL248" s="45"/>
      <c r="CM248" s="45"/>
      <c r="CN248" s="45"/>
      <c r="CO248" s="45"/>
      <c r="CP248" s="45"/>
      <c r="CQ248" s="45"/>
      <c r="CR248" s="45"/>
      <c r="CS248" s="45"/>
      <c r="CT248" s="45"/>
      <c r="CU248" s="45"/>
      <c r="CV248" s="45"/>
      <c r="CW248" s="45"/>
      <c r="CX248" s="45"/>
      <c r="CY248" s="45"/>
      <c r="CZ248" s="45"/>
      <c r="DA248" s="45"/>
      <c r="DB248" s="45"/>
      <c r="DC248" s="45"/>
      <c r="DD248" s="45"/>
      <c r="DE248" s="45"/>
      <c r="DF248" s="45"/>
      <c r="DG248" s="45"/>
      <c r="DH248" s="45"/>
      <c r="DI248" s="45"/>
      <c r="DJ248" s="45"/>
    </row>
    <row r="249" spans="1:114" s="46" customFormat="1" ht="16.5" customHeight="1">
      <c r="A249" s="259"/>
      <c r="B249" s="257"/>
      <c r="C249" s="21"/>
      <c r="D249" s="60"/>
      <c r="E249" s="59"/>
      <c r="F249" s="12"/>
      <c r="G249" s="41"/>
      <c r="H249" s="5"/>
      <c r="I249" s="14"/>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c r="CA249" s="45"/>
      <c r="CB249" s="45"/>
      <c r="CC249" s="45"/>
      <c r="CD249" s="45"/>
      <c r="CE249" s="45"/>
      <c r="CF249" s="45"/>
      <c r="CG249" s="45"/>
      <c r="CH249" s="45"/>
      <c r="CI249" s="45"/>
      <c r="CJ249" s="45"/>
      <c r="CK249" s="45"/>
      <c r="CL249" s="45"/>
      <c r="CM249" s="45"/>
      <c r="CN249" s="45"/>
      <c r="CO249" s="45"/>
      <c r="CP249" s="45"/>
      <c r="CQ249" s="45"/>
      <c r="CR249" s="45"/>
      <c r="CS249" s="45"/>
      <c r="CT249" s="45"/>
      <c r="CU249" s="45"/>
      <c r="CV249" s="45"/>
      <c r="CW249" s="45"/>
      <c r="CX249" s="45"/>
      <c r="CY249" s="45"/>
      <c r="CZ249" s="45"/>
      <c r="DA249" s="45"/>
      <c r="DB249" s="45"/>
      <c r="DC249" s="45"/>
      <c r="DD249" s="45"/>
      <c r="DE249" s="45"/>
      <c r="DF249" s="45"/>
      <c r="DG249" s="45"/>
      <c r="DH249" s="45"/>
      <c r="DI249" s="45"/>
      <c r="DJ249" s="45"/>
    </row>
    <row r="250" spans="1:114" s="46" customFormat="1" ht="23.25" customHeight="1">
      <c r="A250" s="153" t="s">
        <v>15</v>
      </c>
      <c r="B250" s="22">
        <v>0</v>
      </c>
      <c r="C250" s="2"/>
      <c r="D250" s="23">
        <f>SUM(D247:D249)</f>
        <v>0</v>
      </c>
      <c r="E250" s="22"/>
      <c r="F250" s="9">
        <v>0</v>
      </c>
      <c r="G250" s="41"/>
      <c r="H250" s="50">
        <f>SUM(H249)</f>
        <v>0</v>
      </c>
      <c r="I250" s="8"/>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c r="BR250" s="45"/>
      <c r="BS250" s="45"/>
      <c r="BT250" s="45"/>
      <c r="BU250" s="45"/>
      <c r="BV250" s="45"/>
      <c r="BW250" s="45"/>
      <c r="BX250" s="45"/>
      <c r="BY250" s="45"/>
      <c r="BZ250" s="45"/>
      <c r="CA250" s="45"/>
      <c r="CB250" s="45"/>
      <c r="CC250" s="45"/>
      <c r="CD250" s="45"/>
      <c r="CE250" s="45"/>
      <c r="CF250" s="45"/>
      <c r="CG250" s="45"/>
      <c r="CH250" s="45"/>
      <c r="CI250" s="45"/>
      <c r="CJ250" s="45"/>
      <c r="CK250" s="45"/>
      <c r="CL250" s="45"/>
      <c r="CM250" s="45"/>
      <c r="CN250" s="45"/>
      <c r="CO250" s="45"/>
      <c r="CP250" s="45"/>
      <c r="CQ250" s="45"/>
      <c r="CR250" s="45"/>
      <c r="CS250" s="45"/>
      <c r="CT250" s="45"/>
      <c r="CU250" s="45"/>
      <c r="CV250" s="45"/>
      <c r="CW250" s="45"/>
      <c r="CX250" s="45"/>
      <c r="CY250" s="45"/>
      <c r="CZ250" s="45"/>
      <c r="DA250" s="45"/>
      <c r="DB250" s="45"/>
      <c r="DC250" s="45"/>
      <c r="DD250" s="45"/>
      <c r="DE250" s="45"/>
      <c r="DF250" s="45"/>
      <c r="DG250" s="45"/>
      <c r="DH250" s="45"/>
      <c r="DI250" s="45"/>
      <c r="DJ250" s="45"/>
    </row>
    <row r="251" spans="1:114" s="46" customFormat="1" ht="118.5" customHeight="1">
      <c r="A251" s="254" t="s">
        <v>47</v>
      </c>
      <c r="B251" s="261">
        <v>806</v>
      </c>
      <c r="C251" s="152" t="s">
        <v>260</v>
      </c>
      <c r="D251" s="189">
        <f>61053.85+25456</f>
        <v>86509.85</v>
      </c>
      <c r="E251" s="105" t="s">
        <v>87</v>
      </c>
      <c r="F251" s="6"/>
      <c r="G251" s="41"/>
      <c r="H251" s="57"/>
      <c r="I251" s="14"/>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c r="BN251" s="45"/>
      <c r="BO251" s="45"/>
      <c r="BP251" s="45"/>
      <c r="BQ251" s="45"/>
      <c r="BR251" s="45"/>
      <c r="BS251" s="45"/>
      <c r="BT251" s="45"/>
      <c r="BU251" s="45"/>
      <c r="BV251" s="45"/>
      <c r="BW251" s="45"/>
      <c r="BX251" s="45"/>
      <c r="BY251" s="45"/>
      <c r="BZ251" s="45"/>
      <c r="CA251" s="45"/>
      <c r="CB251" s="45"/>
      <c r="CC251" s="45"/>
      <c r="CD251" s="45"/>
      <c r="CE251" s="45"/>
      <c r="CF251" s="45"/>
      <c r="CG251" s="45"/>
      <c r="CH251" s="45"/>
      <c r="CI251" s="45"/>
      <c r="CJ251" s="45"/>
      <c r="CK251" s="45"/>
      <c r="CL251" s="45"/>
      <c r="CM251" s="45"/>
      <c r="CN251" s="45"/>
      <c r="CO251" s="45"/>
      <c r="CP251" s="45"/>
      <c r="CQ251" s="45"/>
      <c r="CR251" s="45"/>
      <c r="CS251" s="45"/>
      <c r="CT251" s="45"/>
      <c r="CU251" s="45"/>
      <c r="CV251" s="45"/>
      <c r="CW251" s="45"/>
      <c r="CX251" s="45"/>
      <c r="CY251" s="45"/>
      <c r="CZ251" s="45"/>
      <c r="DA251" s="45"/>
      <c r="DB251" s="45"/>
      <c r="DC251" s="45"/>
      <c r="DD251" s="45"/>
      <c r="DE251" s="45"/>
      <c r="DF251" s="45"/>
      <c r="DG251" s="45"/>
      <c r="DH251" s="45"/>
      <c r="DI251" s="45"/>
      <c r="DJ251" s="45"/>
    </row>
    <row r="252" spans="1:114" s="46" customFormat="1" ht="31.5" customHeight="1">
      <c r="A252" s="260"/>
      <c r="B252" s="262"/>
      <c r="C252" s="152" t="s">
        <v>134</v>
      </c>
      <c r="D252" s="213">
        <v>4320</v>
      </c>
      <c r="E252" s="122" t="s">
        <v>377</v>
      </c>
      <c r="F252" s="6"/>
      <c r="G252" s="41"/>
      <c r="H252" s="57"/>
      <c r="I252" s="14"/>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c r="BK252" s="45"/>
      <c r="BL252" s="45"/>
      <c r="BM252" s="45"/>
      <c r="BN252" s="45"/>
      <c r="BO252" s="45"/>
      <c r="BP252" s="45"/>
      <c r="BQ252" s="45"/>
      <c r="BR252" s="45"/>
      <c r="BS252" s="45"/>
      <c r="BT252" s="45"/>
      <c r="BU252" s="45"/>
      <c r="BV252" s="45"/>
      <c r="BW252" s="45"/>
      <c r="BX252" s="45"/>
      <c r="BY252" s="45"/>
      <c r="BZ252" s="45"/>
      <c r="CA252" s="45"/>
      <c r="CB252" s="45"/>
      <c r="CC252" s="45"/>
      <c r="CD252" s="45"/>
      <c r="CE252" s="45"/>
      <c r="CF252" s="45"/>
      <c r="CG252" s="45"/>
      <c r="CH252" s="45"/>
      <c r="CI252" s="45"/>
      <c r="CJ252" s="45"/>
      <c r="CK252" s="45"/>
      <c r="CL252" s="45"/>
      <c r="CM252" s="45"/>
      <c r="CN252" s="45"/>
      <c r="CO252" s="45"/>
      <c r="CP252" s="45"/>
      <c r="CQ252" s="45"/>
      <c r="CR252" s="45"/>
      <c r="CS252" s="45"/>
      <c r="CT252" s="45"/>
      <c r="CU252" s="45"/>
      <c r="CV252" s="45"/>
      <c r="CW252" s="45"/>
      <c r="CX252" s="45"/>
      <c r="CY252" s="45"/>
      <c r="CZ252" s="45"/>
      <c r="DA252" s="45"/>
      <c r="DB252" s="45"/>
      <c r="DC252" s="45"/>
      <c r="DD252" s="45"/>
      <c r="DE252" s="45"/>
      <c r="DF252" s="45"/>
      <c r="DG252" s="45"/>
      <c r="DH252" s="45"/>
      <c r="DI252" s="45"/>
      <c r="DJ252" s="45"/>
    </row>
    <row r="253" spans="1:114" s="46" customFormat="1" ht="21" customHeight="1">
      <c r="A253" s="255"/>
      <c r="B253" s="265"/>
      <c r="C253" s="156" t="s">
        <v>196</v>
      </c>
      <c r="D253" s="82"/>
      <c r="E253" s="16"/>
      <c r="F253" s="6"/>
      <c r="G253" s="41"/>
      <c r="H253" s="57"/>
      <c r="I253" s="14"/>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c r="BN253" s="45"/>
      <c r="BO253" s="45"/>
      <c r="BP253" s="45"/>
      <c r="BQ253" s="45"/>
      <c r="BR253" s="45"/>
      <c r="BS253" s="45"/>
      <c r="BT253" s="45"/>
      <c r="BU253" s="45"/>
      <c r="BV253" s="45"/>
      <c r="BW253" s="45"/>
      <c r="BX253" s="45"/>
      <c r="BY253" s="45"/>
      <c r="BZ253" s="45"/>
      <c r="CA253" s="45"/>
      <c r="CB253" s="45"/>
      <c r="CC253" s="45"/>
      <c r="CD253" s="45"/>
      <c r="CE253" s="45"/>
      <c r="CF253" s="45"/>
      <c r="CG253" s="45"/>
      <c r="CH253" s="45"/>
      <c r="CI253" s="45"/>
      <c r="CJ253" s="45"/>
      <c r="CK253" s="45"/>
      <c r="CL253" s="45"/>
      <c r="CM253" s="45"/>
      <c r="CN253" s="45"/>
      <c r="CO253" s="45"/>
      <c r="CP253" s="45"/>
      <c r="CQ253" s="45"/>
      <c r="CR253" s="45"/>
      <c r="CS253" s="45"/>
      <c r="CT253" s="45"/>
      <c r="CU253" s="45"/>
      <c r="CV253" s="45"/>
      <c r="CW253" s="45"/>
      <c r="CX253" s="45"/>
      <c r="CY253" s="45"/>
      <c r="CZ253" s="45"/>
      <c r="DA253" s="45"/>
      <c r="DB253" s="45"/>
      <c r="DC253" s="45"/>
      <c r="DD253" s="45"/>
      <c r="DE253" s="45"/>
      <c r="DF253" s="45"/>
      <c r="DG253" s="45"/>
      <c r="DH253" s="45"/>
      <c r="DI253" s="45"/>
      <c r="DJ253" s="45"/>
    </row>
    <row r="254" spans="1:114" s="46" customFormat="1" ht="24.75" customHeight="1">
      <c r="A254" s="153" t="s">
        <v>15</v>
      </c>
      <c r="B254" s="22">
        <f>B251</f>
        <v>806</v>
      </c>
      <c r="C254" s="2"/>
      <c r="D254" s="23">
        <f>SUM(D251:D253)</f>
        <v>90829.85</v>
      </c>
      <c r="E254" s="22"/>
      <c r="F254" s="9"/>
      <c r="G254" s="41"/>
      <c r="H254" s="8">
        <f>H251</f>
        <v>0</v>
      </c>
      <c r="I254" s="8"/>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c r="BK254" s="45"/>
      <c r="BL254" s="45"/>
      <c r="BM254" s="45"/>
      <c r="BN254" s="45"/>
      <c r="BO254" s="45"/>
      <c r="BP254" s="45"/>
      <c r="BQ254" s="45"/>
      <c r="BR254" s="45"/>
      <c r="BS254" s="45"/>
      <c r="BT254" s="45"/>
      <c r="BU254" s="45"/>
      <c r="BV254" s="45"/>
      <c r="BW254" s="45"/>
      <c r="BX254" s="45"/>
      <c r="BY254" s="45"/>
      <c r="BZ254" s="45"/>
      <c r="CA254" s="45"/>
      <c r="CB254" s="45"/>
      <c r="CC254" s="45"/>
      <c r="CD254" s="45"/>
      <c r="CE254" s="45"/>
      <c r="CF254" s="45"/>
      <c r="CG254" s="45"/>
      <c r="CH254" s="45"/>
      <c r="CI254" s="45"/>
      <c r="CJ254" s="45"/>
      <c r="CK254" s="45"/>
      <c r="CL254" s="45"/>
      <c r="CM254" s="45"/>
      <c r="CN254" s="45"/>
      <c r="CO254" s="45"/>
      <c r="CP254" s="45"/>
      <c r="CQ254" s="45"/>
      <c r="CR254" s="45"/>
      <c r="CS254" s="45"/>
      <c r="CT254" s="45"/>
      <c r="CU254" s="45"/>
      <c r="CV254" s="45"/>
      <c r="CW254" s="45"/>
      <c r="CX254" s="45"/>
      <c r="CY254" s="45"/>
      <c r="CZ254" s="45"/>
      <c r="DA254" s="45"/>
      <c r="DB254" s="45"/>
      <c r="DC254" s="45"/>
      <c r="DD254" s="45"/>
      <c r="DE254" s="45"/>
      <c r="DF254" s="45"/>
      <c r="DG254" s="45"/>
      <c r="DH254" s="45"/>
      <c r="DI254" s="45"/>
      <c r="DJ254" s="45"/>
    </row>
    <row r="255" spans="1:114" s="46" customFormat="1" ht="24.75" customHeight="1">
      <c r="A255" s="254" t="s">
        <v>36</v>
      </c>
      <c r="B255" s="256"/>
      <c r="C255" s="21" t="s">
        <v>208</v>
      </c>
      <c r="D255" s="188">
        <v>24.3</v>
      </c>
      <c r="E255" s="105" t="s">
        <v>87</v>
      </c>
      <c r="F255" s="9"/>
      <c r="G255" s="41"/>
      <c r="H255" s="8"/>
      <c r="I255" s="8"/>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45"/>
      <c r="BG255" s="45"/>
      <c r="BH255" s="45"/>
      <c r="BI255" s="45"/>
      <c r="BJ255" s="45"/>
      <c r="BK255" s="45"/>
      <c r="BL255" s="45"/>
      <c r="BM255" s="45"/>
      <c r="BN255" s="45"/>
      <c r="BO255" s="45"/>
      <c r="BP255" s="45"/>
      <c r="BQ255" s="45"/>
      <c r="BR255" s="45"/>
      <c r="BS255" s="45"/>
      <c r="BT255" s="45"/>
      <c r="BU255" s="45"/>
      <c r="BV255" s="45"/>
      <c r="BW255" s="45"/>
      <c r="BX255" s="45"/>
      <c r="BY255" s="45"/>
      <c r="BZ255" s="45"/>
      <c r="CA255" s="45"/>
      <c r="CB255" s="45"/>
      <c r="CC255" s="45"/>
      <c r="CD255" s="45"/>
      <c r="CE255" s="45"/>
      <c r="CF255" s="45"/>
      <c r="CG255" s="45"/>
      <c r="CH255" s="45"/>
      <c r="CI255" s="45"/>
      <c r="CJ255" s="45"/>
      <c r="CK255" s="45"/>
      <c r="CL255" s="45"/>
      <c r="CM255" s="45"/>
      <c r="CN255" s="45"/>
      <c r="CO255" s="45"/>
      <c r="CP255" s="45"/>
      <c r="CQ255" s="45"/>
      <c r="CR255" s="45"/>
      <c r="CS255" s="45"/>
      <c r="CT255" s="45"/>
      <c r="CU255" s="45"/>
      <c r="CV255" s="45"/>
      <c r="CW255" s="45"/>
      <c r="CX255" s="45"/>
      <c r="CY255" s="45"/>
      <c r="CZ255" s="45"/>
      <c r="DA255" s="45"/>
      <c r="DB255" s="45"/>
      <c r="DC255" s="45"/>
      <c r="DD255" s="45"/>
      <c r="DE255" s="45"/>
      <c r="DF255" s="45"/>
      <c r="DG255" s="45"/>
      <c r="DH255" s="45"/>
      <c r="DI255" s="45"/>
      <c r="DJ255" s="45"/>
    </row>
    <row r="256" spans="1:114" s="46" customFormat="1" ht="15.75" customHeight="1">
      <c r="A256" s="255"/>
      <c r="B256" s="257"/>
      <c r="C256" s="152"/>
      <c r="D256" s="82"/>
      <c r="E256" s="16"/>
      <c r="F256" s="6"/>
      <c r="G256" s="41"/>
      <c r="H256" s="57"/>
      <c r="I256" s="14"/>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c r="BC256" s="45"/>
      <c r="BD256" s="45"/>
      <c r="BE256" s="45"/>
      <c r="BF256" s="45"/>
      <c r="BG256" s="45"/>
      <c r="BH256" s="45"/>
      <c r="BI256" s="45"/>
      <c r="BJ256" s="45"/>
      <c r="BK256" s="45"/>
      <c r="BL256" s="45"/>
      <c r="BM256" s="45"/>
      <c r="BN256" s="45"/>
      <c r="BO256" s="45"/>
      <c r="BP256" s="45"/>
      <c r="BQ256" s="45"/>
      <c r="BR256" s="45"/>
      <c r="BS256" s="45"/>
      <c r="BT256" s="45"/>
      <c r="BU256" s="45"/>
      <c r="BV256" s="45"/>
      <c r="BW256" s="45"/>
      <c r="BX256" s="45"/>
      <c r="BY256" s="45"/>
      <c r="BZ256" s="45"/>
      <c r="CA256" s="45"/>
      <c r="CB256" s="45"/>
      <c r="CC256" s="45"/>
      <c r="CD256" s="45"/>
      <c r="CE256" s="45"/>
      <c r="CF256" s="45"/>
      <c r="CG256" s="45"/>
      <c r="CH256" s="45"/>
      <c r="CI256" s="45"/>
      <c r="CJ256" s="45"/>
      <c r="CK256" s="45"/>
      <c r="CL256" s="45"/>
      <c r="CM256" s="45"/>
      <c r="CN256" s="45"/>
      <c r="CO256" s="45"/>
      <c r="CP256" s="45"/>
      <c r="CQ256" s="45"/>
      <c r="CR256" s="45"/>
      <c r="CS256" s="45"/>
      <c r="CT256" s="45"/>
      <c r="CU256" s="45"/>
      <c r="CV256" s="45"/>
      <c r="CW256" s="45"/>
      <c r="CX256" s="45"/>
      <c r="CY256" s="45"/>
      <c r="CZ256" s="45"/>
      <c r="DA256" s="45"/>
      <c r="DB256" s="45"/>
      <c r="DC256" s="45"/>
      <c r="DD256" s="45"/>
      <c r="DE256" s="45"/>
      <c r="DF256" s="45"/>
      <c r="DG256" s="45"/>
      <c r="DH256" s="45"/>
      <c r="DI256" s="45"/>
      <c r="DJ256" s="45"/>
    </row>
    <row r="257" spans="1:114" s="46" customFormat="1" ht="20.25" customHeight="1">
      <c r="A257" s="153" t="s">
        <v>15</v>
      </c>
      <c r="B257" s="22">
        <f>B256</f>
        <v>0</v>
      </c>
      <c r="C257" s="2"/>
      <c r="D257" s="23">
        <f>SUM(D255:D256)</f>
        <v>24.3</v>
      </c>
      <c r="E257" s="22"/>
      <c r="F257" s="9"/>
      <c r="G257" s="41"/>
      <c r="H257" s="8">
        <f>H256</f>
        <v>0</v>
      </c>
      <c r="I257" s="8"/>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c r="BC257" s="45"/>
      <c r="BD257" s="45"/>
      <c r="BE257" s="45"/>
      <c r="BF257" s="45"/>
      <c r="BG257" s="45"/>
      <c r="BH257" s="45"/>
      <c r="BI257" s="45"/>
      <c r="BJ257" s="45"/>
      <c r="BK257" s="45"/>
      <c r="BL257" s="45"/>
      <c r="BM257" s="45"/>
      <c r="BN257" s="45"/>
      <c r="BO257" s="45"/>
      <c r="BP257" s="45"/>
      <c r="BQ257" s="45"/>
      <c r="BR257" s="45"/>
      <c r="BS257" s="45"/>
      <c r="BT257" s="45"/>
      <c r="BU257" s="45"/>
      <c r="BV257" s="45"/>
      <c r="BW257" s="45"/>
      <c r="BX257" s="45"/>
      <c r="BY257" s="45"/>
      <c r="BZ257" s="45"/>
      <c r="CA257" s="45"/>
      <c r="CB257" s="45"/>
      <c r="CC257" s="45"/>
      <c r="CD257" s="45"/>
      <c r="CE257" s="45"/>
      <c r="CF257" s="45"/>
      <c r="CG257" s="45"/>
      <c r="CH257" s="45"/>
      <c r="CI257" s="45"/>
      <c r="CJ257" s="45"/>
      <c r="CK257" s="45"/>
      <c r="CL257" s="45"/>
      <c r="CM257" s="45"/>
      <c r="CN257" s="45"/>
      <c r="CO257" s="45"/>
      <c r="CP257" s="45"/>
      <c r="CQ257" s="45"/>
      <c r="CR257" s="45"/>
      <c r="CS257" s="45"/>
      <c r="CT257" s="45"/>
      <c r="CU257" s="45"/>
      <c r="CV257" s="45"/>
      <c r="CW257" s="45"/>
      <c r="CX257" s="45"/>
      <c r="CY257" s="45"/>
      <c r="CZ257" s="45"/>
      <c r="DA257" s="45"/>
      <c r="DB257" s="45"/>
      <c r="DC257" s="45"/>
      <c r="DD257" s="45"/>
      <c r="DE257" s="45"/>
      <c r="DF257" s="45"/>
      <c r="DG257" s="45"/>
      <c r="DH257" s="45"/>
      <c r="DI257" s="45"/>
      <c r="DJ257" s="45"/>
    </row>
    <row r="258" spans="1:114" s="46" customFormat="1" ht="117" customHeight="1">
      <c r="A258" s="254" t="s">
        <v>43</v>
      </c>
      <c r="B258" s="256"/>
      <c r="C258" s="156" t="s">
        <v>353</v>
      </c>
      <c r="D258" s="187">
        <f>56007.19+4988.91+11537.32+279886.5+8907.83+4261.89</f>
        <v>365589.6400000001</v>
      </c>
      <c r="E258" s="105" t="s">
        <v>87</v>
      </c>
      <c r="F258" s="9"/>
      <c r="G258" s="41"/>
      <c r="H258" s="8"/>
      <c r="I258" s="8"/>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c r="BK258" s="45"/>
      <c r="BL258" s="45"/>
      <c r="BM258" s="45"/>
      <c r="BN258" s="45"/>
      <c r="BO258" s="45"/>
      <c r="BP258" s="45"/>
      <c r="BQ258" s="45"/>
      <c r="BR258" s="45"/>
      <c r="BS258" s="45"/>
      <c r="BT258" s="45"/>
      <c r="BU258" s="45"/>
      <c r="BV258" s="45"/>
      <c r="BW258" s="45"/>
      <c r="BX258" s="45"/>
      <c r="BY258" s="45"/>
      <c r="BZ258" s="45"/>
      <c r="CA258" s="45"/>
      <c r="CB258" s="45"/>
      <c r="CC258" s="45"/>
      <c r="CD258" s="45"/>
      <c r="CE258" s="45"/>
      <c r="CF258" s="45"/>
      <c r="CG258" s="45"/>
      <c r="CH258" s="45"/>
      <c r="CI258" s="45"/>
      <c r="CJ258" s="45"/>
      <c r="CK258" s="45"/>
      <c r="CL258" s="45"/>
      <c r="CM258" s="45"/>
      <c r="CN258" s="45"/>
      <c r="CO258" s="45"/>
      <c r="CP258" s="45"/>
      <c r="CQ258" s="45"/>
      <c r="CR258" s="45"/>
      <c r="CS258" s="45"/>
      <c r="CT258" s="45"/>
      <c r="CU258" s="45"/>
      <c r="CV258" s="45"/>
      <c r="CW258" s="45"/>
      <c r="CX258" s="45"/>
      <c r="CY258" s="45"/>
      <c r="CZ258" s="45"/>
      <c r="DA258" s="45"/>
      <c r="DB258" s="45"/>
      <c r="DC258" s="45"/>
      <c r="DD258" s="45"/>
      <c r="DE258" s="45"/>
      <c r="DF258" s="45"/>
      <c r="DG258" s="45"/>
      <c r="DH258" s="45"/>
      <c r="DI258" s="45"/>
      <c r="DJ258" s="45"/>
    </row>
    <row r="259" spans="1:114" s="46" customFormat="1" ht="23.25" customHeight="1">
      <c r="A259" s="255"/>
      <c r="B259" s="257"/>
      <c r="C259" s="152"/>
      <c r="D259" s="83"/>
      <c r="E259" s="16"/>
      <c r="F259" s="6"/>
      <c r="G259" s="41"/>
      <c r="H259" s="57"/>
      <c r="I259" s="14"/>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c r="BE259" s="45"/>
      <c r="BF259" s="45"/>
      <c r="BG259" s="45"/>
      <c r="BH259" s="45"/>
      <c r="BI259" s="45"/>
      <c r="BJ259" s="45"/>
      <c r="BK259" s="45"/>
      <c r="BL259" s="45"/>
      <c r="BM259" s="45"/>
      <c r="BN259" s="45"/>
      <c r="BO259" s="45"/>
      <c r="BP259" s="45"/>
      <c r="BQ259" s="45"/>
      <c r="BR259" s="45"/>
      <c r="BS259" s="45"/>
      <c r="BT259" s="45"/>
      <c r="BU259" s="45"/>
      <c r="BV259" s="45"/>
      <c r="BW259" s="45"/>
      <c r="BX259" s="45"/>
      <c r="BY259" s="45"/>
      <c r="BZ259" s="45"/>
      <c r="CA259" s="45"/>
      <c r="CB259" s="45"/>
      <c r="CC259" s="45"/>
      <c r="CD259" s="45"/>
      <c r="CE259" s="45"/>
      <c r="CF259" s="45"/>
      <c r="CG259" s="45"/>
      <c r="CH259" s="45"/>
      <c r="CI259" s="45"/>
      <c r="CJ259" s="45"/>
      <c r="CK259" s="45"/>
      <c r="CL259" s="45"/>
      <c r="CM259" s="45"/>
      <c r="CN259" s="45"/>
      <c r="CO259" s="45"/>
      <c r="CP259" s="45"/>
      <c r="CQ259" s="45"/>
      <c r="CR259" s="45"/>
      <c r="CS259" s="45"/>
      <c r="CT259" s="45"/>
      <c r="CU259" s="45"/>
      <c r="CV259" s="45"/>
      <c r="CW259" s="45"/>
      <c r="CX259" s="45"/>
      <c r="CY259" s="45"/>
      <c r="CZ259" s="45"/>
      <c r="DA259" s="45"/>
      <c r="DB259" s="45"/>
      <c r="DC259" s="45"/>
      <c r="DD259" s="45"/>
      <c r="DE259" s="45"/>
      <c r="DF259" s="45"/>
      <c r="DG259" s="45"/>
      <c r="DH259" s="45"/>
      <c r="DI259" s="45"/>
      <c r="DJ259" s="45"/>
    </row>
    <row r="260" spans="1:114" s="46" customFormat="1" ht="23.25" customHeight="1">
      <c r="A260" s="153" t="s">
        <v>15</v>
      </c>
      <c r="B260" s="22">
        <f>B259</f>
        <v>0</v>
      </c>
      <c r="C260" s="2"/>
      <c r="D260" s="23">
        <f>SUM(D258:D259)</f>
        <v>365589.6400000001</v>
      </c>
      <c r="E260" s="22"/>
      <c r="F260" s="9"/>
      <c r="G260" s="41"/>
      <c r="H260" s="8">
        <f>H259</f>
        <v>0</v>
      </c>
      <c r="I260" s="8"/>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c r="BM260" s="45"/>
      <c r="BN260" s="45"/>
      <c r="BO260" s="45"/>
      <c r="BP260" s="45"/>
      <c r="BQ260" s="45"/>
      <c r="BR260" s="45"/>
      <c r="BS260" s="45"/>
      <c r="BT260" s="45"/>
      <c r="BU260" s="45"/>
      <c r="BV260" s="45"/>
      <c r="BW260" s="45"/>
      <c r="BX260" s="45"/>
      <c r="BY260" s="45"/>
      <c r="BZ260" s="45"/>
      <c r="CA260" s="45"/>
      <c r="CB260" s="45"/>
      <c r="CC260" s="45"/>
      <c r="CD260" s="45"/>
      <c r="CE260" s="45"/>
      <c r="CF260" s="45"/>
      <c r="CG260" s="45"/>
      <c r="CH260" s="45"/>
      <c r="CI260" s="45"/>
      <c r="CJ260" s="45"/>
      <c r="CK260" s="45"/>
      <c r="CL260" s="45"/>
      <c r="CM260" s="45"/>
      <c r="CN260" s="45"/>
      <c r="CO260" s="45"/>
      <c r="CP260" s="45"/>
      <c r="CQ260" s="45"/>
      <c r="CR260" s="45"/>
      <c r="CS260" s="45"/>
      <c r="CT260" s="45"/>
      <c r="CU260" s="45"/>
      <c r="CV260" s="45"/>
      <c r="CW260" s="45"/>
      <c r="CX260" s="45"/>
      <c r="CY260" s="45"/>
      <c r="CZ260" s="45"/>
      <c r="DA260" s="45"/>
      <c r="DB260" s="45"/>
      <c r="DC260" s="45"/>
      <c r="DD260" s="45"/>
      <c r="DE260" s="45"/>
      <c r="DF260" s="45"/>
      <c r="DG260" s="45"/>
      <c r="DH260" s="45"/>
      <c r="DI260" s="45"/>
      <c r="DJ260" s="45"/>
    </row>
    <row r="261" spans="1:114" s="46" customFormat="1" ht="132.75" customHeight="1">
      <c r="A261" s="258" t="s">
        <v>52</v>
      </c>
      <c r="B261" s="256"/>
      <c r="C261" s="128" t="s">
        <v>316</v>
      </c>
      <c r="D261" s="188">
        <f>61053.85+35982.5+5745.96+7929.9+9745.59+8907.83+4137.89</f>
        <v>133503.52000000002</v>
      </c>
      <c r="E261" s="105" t="s">
        <v>87</v>
      </c>
      <c r="F261" s="9"/>
      <c r="G261" s="41"/>
      <c r="H261" s="8"/>
      <c r="I261" s="8"/>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c r="BE261" s="45"/>
      <c r="BF261" s="45"/>
      <c r="BG261" s="45"/>
      <c r="BH261" s="45"/>
      <c r="BI261" s="45"/>
      <c r="BJ261" s="45"/>
      <c r="BK261" s="45"/>
      <c r="BL261" s="45"/>
      <c r="BM261" s="45"/>
      <c r="BN261" s="45"/>
      <c r="BO261" s="45"/>
      <c r="BP261" s="45"/>
      <c r="BQ261" s="45"/>
      <c r="BR261" s="45"/>
      <c r="BS261" s="45"/>
      <c r="BT261" s="45"/>
      <c r="BU261" s="45"/>
      <c r="BV261" s="45"/>
      <c r="BW261" s="45"/>
      <c r="BX261" s="45"/>
      <c r="BY261" s="45"/>
      <c r="BZ261" s="45"/>
      <c r="CA261" s="45"/>
      <c r="CB261" s="45"/>
      <c r="CC261" s="45"/>
      <c r="CD261" s="45"/>
      <c r="CE261" s="45"/>
      <c r="CF261" s="45"/>
      <c r="CG261" s="45"/>
      <c r="CH261" s="45"/>
      <c r="CI261" s="45"/>
      <c r="CJ261" s="45"/>
      <c r="CK261" s="45"/>
      <c r="CL261" s="45"/>
      <c r="CM261" s="45"/>
      <c r="CN261" s="45"/>
      <c r="CO261" s="45"/>
      <c r="CP261" s="45"/>
      <c r="CQ261" s="45"/>
      <c r="CR261" s="45"/>
      <c r="CS261" s="45"/>
      <c r="CT261" s="45"/>
      <c r="CU261" s="45"/>
      <c r="CV261" s="45"/>
      <c r="CW261" s="45"/>
      <c r="CX261" s="45"/>
      <c r="CY261" s="45"/>
      <c r="CZ261" s="45"/>
      <c r="DA261" s="45"/>
      <c r="DB261" s="45"/>
      <c r="DC261" s="45"/>
      <c r="DD261" s="45"/>
      <c r="DE261" s="45"/>
      <c r="DF261" s="45"/>
      <c r="DG261" s="45"/>
      <c r="DH261" s="45"/>
      <c r="DI261" s="45"/>
      <c r="DJ261" s="45"/>
    </row>
    <row r="262" spans="1:114" s="46" customFormat="1" ht="28.5" customHeight="1">
      <c r="A262" s="259"/>
      <c r="B262" s="257"/>
      <c r="C262" s="21" t="s">
        <v>135</v>
      </c>
      <c r="D262" s="213">
        <v>4320</v>
      </c>
      <c r="E262" s="16" t="s">
        <v>377</v>
      </c>
      <c r="F262" s="9"/>
      <c r="G262" s="41"/>
      <c r="H262" s="57"/>
      <c r="I262" s="14"/>
      <c r="J262" s="45"/>
      <c r="K262" s="221">
        <f>D166</f>
        <v>1952390.8</v>
      </c>
      <c r="L262" s="45" t="s">
        <v>381</v>
      </c>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45"/>
      <c r="BG262" s="45"/>
      <c r="BH262" s="45"/>
      <c r="BI262" s="45"/>
      <c r="BJ262" s="45"/>
      <c r="BK262" s="45"/>
      <c r="BL262" s="45"/>
      <c r="BM262" s="45"/>
      <c r="BN262" s="45"/>
      <c r="BO262" s="45"/>
      <c r="BP262" s="45"/>
      <c r="BQ262" s="45"/>
      <c r="BR262" s="45"/>
      <c r="BS262" s="45"/>
      <c r="BT262" s="45"/>
      <c r="BU262" s="45"/>
      <c r="BV262" s="45"/>
      <c r="BW262" s="45"/>
      <c r="BX262" s="45"/>
      <c r="BY262" s="45"/>
      <c r="BZ262" s="45"/>
      <c r="CA262" s="45"/>
      <c r="CB262" s="45"/>
      <c r="CC262" s="45"/>
      <c r="CD262" s="45"/>
      <c r="CE262" s="45"/>
      <c r="CF262" s="45"/>
      <c r="CG262" s="45"/>
      <c r="CH262" s="45"/>
      <c r="CI262" s="45"/>
      <c r="CJ262" s="45"/>
      <c r="CK262" s="45"/>
      <c r="CL262" s="45"/>
      <c r="CM262" s="45"/>
      <c r="CN262" s="45"/>
      <c r="CO262" s="45"/>
      <c r="CP262" s="45"/>
      <c r="CQ262" s="45"/>
      <c r="CR262" s="45"/>
      <c r="CS262" s="45"/>
      <c r="CT262" s="45"/>
      <c r="CU262" s="45"/>
      <c r="CV262" s="45"/>
      <c r="CW262" s="45"/>
      <c r="CX262" s="45"/>
      <c r="CY262" s="45"/>
      <c r="CZ262" s="45"/>
      <c r="DA262" s="45"/>
      <c r="DB262" s="45"/>
      <c r="DC262" s="45"/>
      <c r="DD262" s="45"/>
      <c r="DE262" s="45"/>
      <c r="DF262" s="45"/>
      <c r="DG262" s="45"/>
      <c r="DH262" s="45"/>
      <c r="DI262" s="45"/>
      <c r="DJ262" s="45"/>
    </row>
    <row r="263" spans="1:114" s="46" customFormat="1" ht="29.25" customHeight="1">
      <c r="A263" s="153" t="s">
        <v>15</v>
      </c>
      <c r="B263" s="22">
        <f>B262</f>
        <v>0</v>
      </c>
      <c r="C263" s="2"/>
      <c r="D263" s="23">
        <f>SUM(D261:D262)</f>
        <v>137823.52000000002</v>
      </c>
      <c r="E263" s="22"/>
      <c r="F263" s="9"/>
      <c r="G263" s="41"/>
      <c r="H263" s="8">
        <f>H262</f>
        <v>0</v>
      </c>
      <c r="I263" s="8"/>
      <c r="J263" s="45"/>
      <c r="K263" s="220">
        <f>D132</f>
        <v>205782.14</v>
      </c>
      <c r="L263" s="45" t="s">
        <v>380</v>
      </c>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5"/>
      <c r="BS263" s="45"/>
      <c r="BT263" s="45"/>
      <c r="BU263" s="45"/>
      <c r="BV263" s="45"/>
      <c r="BW263" s="45"/>
      <c r="BX263" s="45"/>
      <c r="BY263" s="45"/>
      <c r="BZ263" s="45"/>
      <c r="CA263" s="45"/>
      <c r="CB263" s="45"/>
      <c r="CC263" s="45"/>
      <c r="CD263" s="45"/>
      <c r="CE263" s="45"/>
      <c r="CF263" s="45"/>
      <c r="CG263" s="45"/>
      <c r="CH263" s="45"/>
      <c r="CI263" s="45"/>
      <c r="CJ263" s="45"/>
      <c r="CK263" s="45"/>
      <c r="CL263" s="45"/>
      <c r="CM263" s="45"/>
      <c r="CN263" s="45"/>
      <c r="CO263" s="45"/>
      <c r="CP263" s="45"/>
      <c r="CQ263" s="45"/>
      <c r="CR263" s="45"/>
      <c r="CS263" s="45"/>
      <c r="CT263" s="45"/>
      <c r="CU263" s="45"/>
      <c r="CV263" s="45"/>
      <c r="CW263" s="45"/>
      <c r="CX263" s="45"/>
      <c r="CY263" s="45"/>
      <c r="CZ263" s="45"/>
      <c r="DA263" s="45"/>
      <c r="DB263" s="45"/>
      <c r="DC263" s="45"/>
      <c r="DD263" s="45"/>
      <c r="DE263" s="45"/>
      <c r="DF263" s="45"/>
      <c r="DG263" s="45"/>
      <c r="DH263" s="45"/>
      <c r="DI263" s="45"/>
      <c r="DJ263" s="45"/>
    </row>
    <row r="264" spans="1:114" s="46" customFormat="1" ht="39.75" customHeight="1">
      <c r="A264" s="78" t="s">
        <v>50</v>
      </c>
      <c r="B264" s="59"/>
      <c r="C264" s="21" t="s">
        <v>231</v>
      </c>
      <c r="D264" s="186">
        <v>85864.3</v>
      </c>
      <c r="E264" s="105" t="s">
        <v>87</v>
      </c>
      <c r="F264" s="6"/>
      <c r="G264" s="41"/>
      <c r="H264" s="57"/>
      <c r="I264" s="14"/>
      <c r="J264" s="45"/>
      <c r="K264" s="217">
        <f>D109</f>
        <v>450053.76</v>
      </c>
      <c r="L264" s="45" t="s">
        <v>379</v>
      </c>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5"/>
      <c r="AY264" s="45"/>
      <c r="AZ264" s="45"/>
      <c r="BA264" s="45"/>
      <c r="BB264" s="45"/>
      <c r="BC264" s="45"/>
      <c r="BD264" s="45"/>
      <c r="BE264" s="45"/>
      <c r="BF264" s="45"/>
      <c r="BG264" s="45"/>
      <c r="BH264" s="45"/>
      <c r="BI264" s="45"/>
      <c r="BJ264" s="45"/>
      <c r="BK264" s="45"/>
      <c r="BL264" s="45"/>
      <c r="BM264" s="45"/>
      <c r="BN264" s="45"/>
      <c r="BO264" s="45"/>
      <c r="BP264" s="45"/>
      <c r="BQ264" s="45"/>
      <c r="BR264" s="45"/>
      <c r="BS264" s="45"/>
      <c r="BT264" s="45"/>
      <c r="BU264" s="45"/>
      <c r="BV264" s="45"/>
      <c r="BW264" s="45"/>
      <c r="BX264" s="45"/>
      <c r="BY264" s="45"/>
      <c r="BZ264" s="45"/>
      <c r="CA264" s="45"/>
      <c r="CB264" s="45"/>
      <c r="CC264" s="45"/>
      <c r="CD264" s="45"/>
      <c r="CE264" s="45"/>
      <c r="CF264" s="45"/>
      <c r="CG264" s="45"/>
      <c r="CH264" s="45"/>
      <c r="CI264" s="45"/>
      <c r="CJ264" s="45"/>
      <c r="CK264" s="45"/>
      <c r="CL264" s="45"/>
      <c r="CM264" s="45"/>
      <c r="CN264" s="45"/>
      <c r="CO264" s="45"/>
      <c r="CP264" s="45"/>
      <c r="CQ264" s="45"/>
      <c r="CR264" s="45"/>
      <c r="CS264" s="45"/>
      <c r="CT264" s="45"/>
      <c r="CU264" s="45"/>
      <c r="CV264" s="45"/>
      <c r="CW264" s="45"/>
      <c r="CX264" s="45"/>
      <c r="CY264" s="45"/>
      <c r="CZ264" s="45"/>
      <c r="DA264" s="45"/>
      <c r="DB264" s="45"/>
      <c r="DC264" s="45"/>
      <c r="DD264" s="45"/>
      <c r="DE264" s="45"/>
      <c r="DF264" s="45"/>
      <c r="DG264" s="45"/>
      <c r="DH264" s="45"/>
      <c r="DI264" s="45"/>
      <c r="DJ264" s="45"/>
    </row>
    <row r="265" spans="1:114" s="46" customFormat="1" ht="24.75" customHeight="1">
      <c r="A265" s="153" t="s">
        <v>15</v>
      </c>
      <c r="B265" s="22">
        <f>SUM(B264)</f>
        <v>0</v>
      </c>
      <c r="C265" s="2"/>
      <c r="D265" s="23">
        <f>D264</f>
        <v>85864.3</v>
      </c>
      <c r="E265" s="22"/>
      <c r="F265" s="9"/>
      <c r="G265" s="41"/>
      <c r="H265" s="8">
        <f>H264</f>
        <v>0</v>
      </c>
      <c r="I265" s="8"/>
      <c r="J265" s="45"/>
      <c r="K265" s="216">
        <f>D107</f>
        <v>368574.33999999997</v>
      </c>
      <c r="L265" s="45" t="s">
        <v>378</v>
      </c>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5"/>
      <c r="AY265" s="45"/>
      <c r="AZ265" s="45"/>
      <c r="BA265" s="45"/>
      <c r="BB265" s="45"/>
      <c r="BC265" s="45"/>
      <c r="BD265" s="45"/>
      <c r="BE265" s="45"/>
      <c r="BF265" s="45"/>
      <c r="BG265" s="45"/>
      <c r="BH265" s="45"/>
      <c r="BI265" s="45"/>
      <c r="BJ265" s="45"/>
      <c r="BK265" s="45"/>
      <c r="BL265" s="45"/>
      <c r="BM265" s="45"/>
      <c r="BN265" s="45"/>
      <c r="BO265" s="45"/>
      <c r="BP265" s="45"/>
      <c r="BQ265" s="45"/>
      <c r="BR265" s="45"/>
      <c r="BS265" s="45"/>
      <c r="BT265" s="45"/>
      <c r="BU265" s="45"/>
      <c r="BV265" s="45"/>
      <c r="BW265" s="45"/>
      <c r="BX265" s="45"/>
      <c r="BY265" s="45"/>
      <c r="BZ265" s="45"/>
      <c r="CA265" s="45"/>
      <c r="CB265" s="45"/>
      <c r="CC265" s="45"/>
      <c r="CD265" s="45"/>
      <c r="CE265" s="45"/>
      <c r="CF265" s="45"/>
      <c r="CG265" s="45"/>
      <c r="CH265" s="45"/>
      <c r="CI265" s="45"/>
      <c r="CJ265" s="45"/>
      <c r="CK265" s="45"/>
      <c r="CL265" s="45"/>
      <c r="CM265" s="45"/>
      <c r="CN265" s="45"/>
      <c r="CO265" s="45"/>
      <c r="CP265" s="45"/>
      <c r="CQ265" s="45"/>
      <c r="CR265" s="45"/>
      <c r="CS265" s="45"/>
      <c r="CT265" s="45"/>
      <c r="CU265" s="45"/>
      <c r="CV265" s="45"/>
      <c r="CW265" s="45"/>
      <c r="CX265" s="45"/>
      <c r="CY265" s="45"/>
      <c r="CZ265" s="45"/>
      <c r="DA265" s="45"/>
      <c r="DB265" s="45"/>
      <c r="DC265" s="45"/>
      <c r="DD265" s="45"/>
      <c r="DE265" s="45"/>
      <c r="DF265" s="45"/>
      <c r="DG265" s="45"/>
      <c r="DH265" s="45"/>
      <c r="DI265" s="45"/>
      <c r="DJ265" s="45"/>
    </row>
    <row r="266" spans="1:114" s="46" customFormat="1" ht="31.5">
      <c r="A266" s="254" t="s">
        <v>42</v>
      </c>
      <c r="B266" s="261">
        <v>3000</v>
      </c>
      <c r="C266" s="21" t="s">
        <v>262</v>
      </c>
      <c r="D266" s="188">
        <f>56206.04-50998.33</f>
        <v>5207.709999999999</v>
      </c>
      <c r="E266" s="105" t="s">
        <v>87</v>
      </c>
      <c r="F266" s="9"/>
      <c r="G266" s="41"/>
      <c r="H266" s="8"/>
      <c r="I266" s="8"/>
      <c r="J266" s="45"/>
      <c r="K266" s="214">
        <f>D262+D252+D197+D121</f>
        <v>17280</v>
      </c>
      <c r="L266" s="45" t="s">
        <v>377</v>
      </c>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c r="BC266" s="45"/>
      <c r="BD266" s="45"/>
      <c r="BE266" s="45"/>
      <c r="BF266" s="45"/>
      <c r="BG266" s="45"/>
      <c r="BH266" s="45"/>
      <c r="BI266" s="45"/>
      <c r="BJ266" s="45"/>
      <c r="BK266" s="45"/>
      <c r="BL266" s="45"/>
      <c r="BM266" s="45"/>
      <c r="BN266" s="45"/>
      <c r="BO266" s="45"/>
      <c r="BP266" s="45"/>
      <c r="BQ266" s="45"/>
      <c r="BR266" s="45"/>
      <c r="BS266" s="45"/>
      <c r="BT266" s="45"/>
      <c r="BU266" s="45"/>
      <c r="BV266" s="45"/>
      <c r="BW266" s="45"/>
      <c r="BX266" s="45"/>
      <c r="BY266" s="45"/>
      <c r="BZ266" s="45"/>
      <c r="CA266" s="45"/>
      <c r="CB266" s="45"/>
      <c r="CC266" s="45"/>
      <c r="CD266" s="45"/>
      <c r="CE266" s="45"/>
      <c r="CF266" s="45"/>
      <c r="CG266" s="45"/>
      <c r="CH266" s="45"/>
      <c r="CI266" s="45"/>
      <c r="CJ266" s="45"/>
      <c r="CK266" s="45"/>
      <c r="CL266" s="45"/>
      <c r="CM266" s="45"/>
      <c r="CN266" s="45"/>
      <c r="CO266" s="45"/>
      <c r="CP266" s="45"/>
      <c r="CQ266" s="45"/>
      <c r="CR266" s="45"/>
      <c r="CS266" s="45"/>
      <c r="CT266" s="45"/>
      <c r="CU266" s="45"/>
      <c r="CV266" s="45"/>
      <c r="CW266" s="45"/>
      <c r="CX266" s="45"/>
      <c r="CY266" s="45"/>
      <c r="CZ266" s="45"/>
      <c r="DA266" s="45"/>
      <c r="DB266" s="45"/>
      <c r="DC266" s="45"/>
      <c r="DD266" s="45"/>
      <c r="DE266" s="45"/>
      <c r="DF266" s="45"/>
      <c r="DG266" s="45"/>
      <c r="DH266" s="45"/>
      <c r="DI266" s="45"/>
      <c r="DJ266" s="45"/>
    </row>
    <row r="267" spans="1:114" s="46" customFormat="1" ht="19.5" customHeight="1">
      <c r="A267" s="260"/>
      <c r="B267" s="262"/>
      <c r="C267" s="21" t="s">
        <v>366</v>
      </c>
      <c r="D267" s="60"/>
      <c r="E267" s="105"/>
      <c r="F267" s="9"/>
      <c r="G267" s="41"/>
      <c r="H267" s="8"/>
      <c r="I267" s="8"/>
      <c r="J267" s="45"/>
      <c r="K267" s="190">
        <f>D12+D17+D25+D30+D33+D38+D45+D47+D51+D57+D60+D64+D71+D73+D77+D80+D83+D91+D93+D112+D115+D120+D128+D151+D158+D165+D173+D186+D192+D199+D203+D207+D217+D228+D235+D239+D251+D258+D261+D264+D266+D270+D273+D97+D255</f>
        <v>9893394.780000001</v>
      </c>
      <c r="L267" s="45" t="s">
        <v>369</v>
      </c>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c r="BE267" s="45"/>
      <c r="BF267" s="45"/>
      <c r="BG267" s="45"/>
      <c r="BH267" s="45"/>
      <c r="BI267" s="45"/>
      <c r="BJ267" s="45"/>
      <c r="BK267" s="45"/>
      <c r="BL267" s="45"/>
      <c r="BM267" s="45"/>
      <c r="BN267" s="45"/>
      <c r="BO267" s="45"/>
      <c r="BP267" s="45"/>
      <c r="BQ267" s="45"/>
      <c r="BR267" s="45"/>
      <c r="BS267" s="45"/>
      <c r="BT267" s="45"/>
      <c r="BU267" s="45"/>
      <c r="BV267" s="45"/>
      <c r="BW267" s="45"/>
      <c r="BX267" s="45"/>
      <c r="BY267" s="45"/>
      <c r="BZ267" s="45"/>
      <c r="CA267" s="45"/>
      <c r="CB267" s="45"/>
      <c r="CC267" s="45"/>
      <c r="CD267" s="45"/>
      <c r="CE267" s="45"/>
      <c r="CF267" s="45"/>
      <c r="CG267" s="45"/>
      <c r="CH267" s="45"/>
      <c r="CI267" s="45"/>
      <c r="CJ267" s="45"/>
      <c r="CK267" s="45"/>
      <c r="CL267" s="45"/>
      <c r="CM267" s="45"/>
      <c r="CN267" s="45"/>
      <c r="CO267" s="45"/>
      <c r="CP267" s="45"/>
      <c r="CQ267" s="45"/>
      <c r="CR267" s="45"/>
      <c r="CS267" s="45"/>
      <c r="CT267" s="45"/>
      <c r="CU267" s="45"/>
      <c r="CV267" s="45"/>
      <c r="CW267" s="45"/>
      <c r="CX267" s="45"/>
      <c r="CY267" s="45"/>
      <c r="CZ267" s="45"/>
      <c r="DA267" s="45"/>
      <c r="DB267" s="45"/>
      <c r="DC267" s="45"/>
      <c r="DD267" s="45"/>
      <c r="DE267" s="45"/>
      <c r="DF267" s="45"/>
      <c r="DG267" s="45"/>
      <c r="DH267" s="45"/>
      <c r="DI267" s="45"/>
      <c r="DJ267" s="45"/>
    </row>
    <row r="268" spans="1:114" s="46" customFormat="1" ht="27.75" customHeight="1">
      <c r="A268" s="255"/>
      <c r="B268" s="265"/>
      <c r="C268" s="152" t="s">
        <v>122</v>
      </c>
      <c r="D268" s="192">
        <v>980</v>
      </c>
      <c r="E268" s="16" t="s">
        <v>108</v>
      </c>
      <c r="F268" s="6"/>
      <c r="G268" s="41"/>
      <c r="H268" s="57"/>
      <c r="I268" s="14"/>
      <c r="J268" s="45"/>
      <c r="K268" s="195">
        <f>D240+D232+D218+D212+D193+D189+D177+D167+D134+D124+D101+D152+D268</f>
        <v>89471</v>
      </c>
      <c r="L268" s="45" t="s">
        <v>370</v>
      </c>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c r="BC268" s="45"/>
      <c r="BD268" s="45"/>
      <c r="BE268" s="45"/>
      <c r="BF268" s="45"/>
      <c r="BG268" s="45"/>
      <c r="BH268" s="45"/>
      <c r="BI268" s="45"/>
      <c r="BJ268" s="45"/>
      <c r="BK268" s="45"/>
      <c r="BL268" s="45"/>
      <c r="BM268" s="45"/>
      <c r="BN268" s="45"/>
      <c r="BO268" s="45"/>
      <c r="BP268" s="45"/>
      <c r="BQ268" s="45"/>
      <c r="BR268" s="45"/>
      <c r="BS268" s="45"/>
      <c r="BT268" s="45"/>
      <c r="BU268" s="45"/>
      <c r="BV268" s="45"/>
      <c r="BW268" s="45"/>
      <c r="BX268" s="45"/>
      <c r="BY268" s="45"/>
      <c r="BZ268" s="45"/>
      <c r="CA268" s="45"/>
      <c r="CB268" s="45"/>
      <c r="CC268" s="45"/>
      <c r="CD268" s="45"/>
      <c r="CE268" s="45"/>
      <c r="CF268" s="45"/>
      <c r="CG268" s="45"/>
      <c r="CH268" s="45"/>
      <c r="CI268" s="45"/>
      <c r="CJ268" s="45"/>
      <c r="CK268" s="45"/>
      <c r="CL268" s="45"/>
      <c r="CM268" s="45"/>
      <c r="CN268" s="45"/>
      <c r="CO268" s="45"/>
      <c r="CP268" s="45"/>
      <c r="CQ268" s="45"/>
      <c r="CR268" s="45"/>
      <c r="CS268" s="45"/>
      <c r="CT268" s="45"/>
      <c r="CU268" s="45"/>
      <c r="CV268" s="45"/>
      <c r="CW268" s="45"/>
      <c r="CX268" s="45"/>
      <c r="CY268" s="45"/>
      <c r="CZ268" s="45"/>
      <c r="DA268" s="45"/>
      <c r="DB268" s="45"/>
      <c r="DC268" s="45"/>
      <c r="DD268" s="45"/>
      <c r="DE268" s="45"/>
      <c r="DF268" s="45"/>
      <c r="DG268" s="45"/>
      <c r="DH268" s="45"/>
      <c r="DI268" s="45"/>
      <c r="DJ268" s="45"/>
    </row>
    <row r="269" spans="1:114" s="46" customFormat="1" ht="23.25" customHeight="1">
      <c r="A269" s="153" t="s">
        <v>15</v>
      </c>
      <c r="B269" s="22">
        <f>SUM(B266)</f>
        <v>3000</v>
      </c>
      <c r="C269" s="2"/>
      <c r="D269" s="23">
        <f>SUM(D266:D268)</f>
        <v>6187.709999999999</v>
      </c>
      <c r="E269" s="22"/>
      <c r="F269" s="9"/>
      <c r="G269" s="41"/>
      <c r="H269" s="8">
        <f>H268</f>
        <v>0</v>
      </c>
      <c r="I269" s="8"/>
      <c r="J269" s="45"/>
      <c r="K269" s="196">
        <f>D182</f>
        <v>395514.04</v>
      </c>
      <c r="L269" s="45" t="s">
        <v>371</v>
      </c>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c r="BE269" s="45"/>
      <c r="BF269" s="45"/>
      <c r="BG269" s="45"/>
      <c r="BH269" s="45"/>
      <c r="BI269" s="45"/>
      <c r="BJ269" s="45"/>
      <c r="BK269" s="45"/>
      <c r="BL269" s="45"/>
      <c r="BM269" s="45"/>
      <c r="BN269" s="45"/>
      <c r="BO269" s="45"/>
      <c r="BP269" s="45"/>
      <c r="BQ269" s="45"/>
      <c r="BR269" s="45"/>
      <c r="BS269" s="45"/>
      <c r="BT269" s="45"/>
      <c r="BU269" s="45"/>
      <c r="BV269" s="45"/>
      <c r="BW269" s="45"/>
      <c r="BX269" s="45"/>
      <c r="BY269" s="45"/>
      <c r="BZ269" s="45"/>
      <c r="CA269" s="45"/>
      <c r="CB269" s="45"/>
      <c r="CC269" s="45"/>
      <c r="CD269" s="45"/>
      <c r="CE269" s="45"/>
      <c r="CF269" s="45"/>
      <c r="CG269" s="45"/>
      <c r="CH269" s="45"/>
      <c r="CI269" s="45"/>
      <c r="CJ269" s="45"/>
      <c r="CK269" s="45"/>
      <c r="CL269" s="45"/>
      <c r="CM269" s="45"/>
      <c r="CN269" s="45"/>
      <c r="CO269" s="45"/>
      <c r="CP269" s="45"/>
      <c r="CQ269" s="45"/>
      <c r="CR269" s="45"/>
      <c r="CS269" s="45"/>
      <c r="CT269" s="45"/>
      <c r="CU269" s="45"/>
      <c r="CV269" s="45"/>
      <c r="CW269" s="45"/>
      <c r="CX269" s="45"/>
      <c r="CY269" s="45"/>
      <c r="CZ269" s="45"/>
      <c r="DA269" s="45"/>
      <c r="DB269" s="45"/>
      <c r="DC269" s="45"/>
      <c r="DD269" s="45"/>
      <c r="DE269" s="45"/>
      <c r="DF269" s="45"/>
      <c r="DG269" s="45"/>
      <c r="DH269" s="45"/>
      <c r="DI269" s="45"/>
      <c r="DJ269" s="45"/>
    </row>
    <row r="270" spans="1:114" s="46" customFormat="1" ht="47.25">
      <c r="A270" s="254" t="s">
        <v>48</v>
      </c>
      <c r="B270" s="261">
        <v>15000</v>
      </c>
      <c r="C270" s="152" t="s">
        <v>233</v>
      </c>
      <c r="D270" s="187">
        <f>51022.63</f>
        <v>51022.63</v>
      </c>
      <c r="E270" s="105" t="s">
        <v>87</v>
      </c>
      <c r="F270" s="6"/>
      <c r="G270" s="41"/>
      <c r="H270" s="57"/>
      <c r="I270" s="14"/>
      <c r="J270" s="45"/>
      <c r="K270" s="199">
        <f>D98+D175</f>
        <v>294228</v>
      </c>
      <c r="L270" s="45" t="s">
        <v>372</v>
      </c>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c r="BC270" s="45"/>
      <c r="BD270" s="45"/>
      <c r="BE270" s="45"/>
      <c r="BF270" s="45"/>
      <c r="BG270" s="45"/>
      <c r="BH270" s="45"/>
      <c r="BI270" s="45"/>
      <c r="BJ270" s="45"/>
      <c r="BK270" s="45"/>
      <c r="BL270" s="45"/>
      <c r="BM270" s="45"/>
      <c r="BN270" s="45"/>
      <c r="BO270" s="45"/>
      <c r="BP270" s="45"/>
      <c r="BQ270" s="45"/>
      <c r="BR270" s="45"/>
      <c r="BS270" s="45"/>
      <c r="BT270" s="45"/>
      <c r="BU270" s="45"/>
      <c r="BV270" s="45"/>
      <c r="BW270" s="45"/>
      <c r="BX270" s="45"/>
      <c r="BY270" s="45"/>
      <c r="BZ270" s="45"/>
      <c r="CA270" s="45"/>
      <c r="CB270" s="45"/>
      <c r="CC270" s="45"/>
      <c r="CD270" s="45"/>
      <c r="CE270" s="45"/>
      <c r="CF270" s="45"/>
      <c r="CG270" s="45"/>
      <c r="CH270" s="45"/>
      <c r="CI270" s="45"/>
      <c r="CJ270" s="45"/>
      <c r="CK270" s="45"/>
      <c r="CL270" s="45"/>
      <c r="CM270" s="45"/>
      <c r="CN270" s="45"/>
      <c r="CO270" s="45"/>
      <c r="CP270" s="45"/>
      <c r="CQ270" s="45"/>
      <c r="CR270" s="45"/>
      <c r="CS270" s="45"/>
      <c r="CT270" s="45"/>
      <c r="CU270" s="45"/>
      <c r="CV270" s="45"/>
      <c r="CW270" s="45"/>
      <c r="CX270" s="45"/>
      <c r="CY270" s="45"/>
      <c r="CZ270" s="45"/>
      <c r="DA270" s="45"/>
      <c r="DB270" s="45"/>
      <c r="DC270" s="45"/>
      <c r="DD270" s="45"/>
      <c r="DE270" s="45"/>
      <c r="DF270" s="45"/>
      <c r="DG270" s="45"/>
      <c r="DH270" s="45"/>
      <c r="DI270" s="45"/>
      <c r="DJ270" s="45"/>
    </row>
    <row r="271" spans="1:114" s="46" customFormat="1" ht="19.5" customHeight="1">
      <c r="A271" s="260"/>
      <c r="B271" s="262"/>
      <c r="C271" s="116" t="s">
        <v>261</v>
      </c>
      <c r="D271" s="59"/>
      <c r="E271" s="74"/>
      <c r="F271" s="6"/>
      <c r="G271" s="41"/>
      <c r="H271" s="8"/>
      <c r="I271" s="8"/>
      <c r="J271" s="45"/>
      <c r="K271" s="200">
        <f>D129</f>
        <v>5218.96</v>
      </c>
      <c r="L271" s="45" t="s">
        <v>373</v>
      </c>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45"/>
      <c r="BG271" s="45"/>
      <c r="BH271" s="45"/>
      <c r="BI271" s="45"/>
      <c r="BJ271" s="45"/>
      <c r="BK271" s="45"/>
      <c r="BL271" s="45"/>
      <c r="BM271" s="45"/>
      <c r="BN271" s="45"/>
      <c r="BO271" s="45"/>
      <c r="BP271" s="45"/>
      <c r="BQ271" s="45"/>
      <c r="BR271" s="45"/>
      <c r="BS271" s="45"/>
      <c r="BT271" s="45"/>
      <c r="BU271" s="45"/>
      <c r="BV271" s="45"/>
      <c r="BW271" s="45"/>
      <c r="BX271" s="45"/>
      <c r="BY271" s="45"/>
      <c r="BZ271" s="45"/>
      <c r="CA271" s="45"/>
      <c r="CB271" s="45"/>
      <c r="CC271" s="45"/>
      <c r="CD271" s="45"/>
      <c r="CE271" s="45"/>
      <c r="CF271" s="45"/>
      <c r="CG271" s="45"/>
      <c r="CH271" s="45"/>
      <c r="CI271" s="45"/>
      <c r="CJ271" s="45"/>
      <c r="CK271" s="45"/>
      <c r="CL271" s="45"/>
      <c r="CM271" s="45"/>
      <c r="CN271" s="45"/>
      <c r="CO271" s="45"/>
      <c r="CP271" s="45"/>
      <c r="CQ271" s="45"/>
      <c r="CR271" s="45"/>
      <c r="CS271" s="45"/>
      <c r="CT271" s="45"/>
      <c r="CU271" s="45"/>
      <c r="CV271" s="45"/>
      <c r="CW271" s="45"/>
      <c r="CX271" s="45"/>
      <c r="CY271" s="45"/>
      <c r="CZ271" s="45"/>
      <c r="DA271" s="45"/>
      <c r="DB271" s="45"/>
      <c r="DC271" s="45"/>
      <c r="DD271" s="45"/>
      <c r="DE271" s="45"/>
      <c r="DF271" s="45"/>
      <c r="DG271" s="45"/>
      <c r="DH271" s="45"/>
      <c r="DI271" s="45"/>
      <c r="DJ271" s="45"/>
    </row>
    <row r="272" spans="1:114" s="46" customFormat="1" ht="24" customHeight="1">
      <c r="A272" s="169" t="s">
        <v>15</v>
      </c>
      <c r="B272" s="22">
        <f>B270</f>
        <v>15000</v>
      </c>
      <c r="C272" s="116"/>
      <c r="D272" s="22">
        <f>D270+D271</f>
        <v>51022.63</v>
      </c>
      <c r="E272" s="85"/>
      <c r="F272" s="6"/>
      <c r="G272" s="41"/>
      <c r="H272" s="8">
        <f>H270+H271</f>
        <v>0</v>
      </c>
      <c r="I272" s="8"/>
      <c r="J272" s="45"/>
      <c r="K272" s="204">
        <f>D226+D225+D215+D214+D185+D184+D180+D164+D163+D150+D149+D127+D126+D100+D99</f>
        <v>19252.56</v>
      </c>
      <c r="L272" s="45" t="s">
        <v>374</v>
      </c>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c r="BE272" s="45"/>
      <c r="BF272" s="45"/>
      <c r="BG272" s="45"/>
      <c r="BH272" s="45"/>
      <c r="BI272" s="45"/>
      <c r="BJ272" s="45"/>
      <c r="BK272" s="45"/>
      <c r="BL272" s="45"/>
      <c r="BM272" s="45"/>
      <c r="BN272" s="45"/>
      <c r="BO272" s="45"/>
      <c r="BP272" s="45"/>
      <c r="BQ272" s="45"/>
      <c r="BR272" s="45"/>
      <c r="BS272" s="45"/>
      <c r="BT272" s="45"/>
      <c r="BU272" s="45"/>
      <c r="BV272" s="45"/>
      <c r="BW272" s="45"/>
      <c r="BX272" s="45"/>
      <c r="BY272" s="45"/>
      <c r="BZ272" s="45"/>
      <c r="CA272" s="45"/>
      <c r="CB272" s="45"/>
      <c r="CC272" s="45"/>
      <c r="CD272" s="45"/>
      <c r="CE272" s="45"/>
      <c r="CF272" s="45"/>
      <c r="CG272" s="45"/>
      <c r="CH272" s="45"/>
      <c r="CI272" s="45"/>
      <c r="CJ272" s="45"/>
      <c r="CK272" s="45"/>
      <c r="CL272" s="45"/>
      <c r="CM272" s="45"/>
      <c r="CN272" s="45"/>
      <c r="CO272" s="45"/>
      <c r="CP272" s="45"/>
      <c r="CQ272" s="45"/>
      <c r="CR272" s="45"/>
      <c r="CS272" s="45"/>
      <c r="CT272" s="45"/>
      <c r="CU272" s="45"/>
      <c r="CV272" s="45"/>
      <c r="CW272" s="45"/>
      <c r="CX272" s="45"/>
      <c r="CY272" s="45"/>
      <c r="CZ272" s="45"/>
      <c r="DA272" s="45"/>
      <c r="DB272" s="45"/>
      <c r="DC272" s="45"/>
      <c r="DD272" s="45"/>
      <c r="DE272" s="45"/>
      <c r="DF272" s="45"/>
      <c r="DG272" s="45"/>
      <c r="DH272" s="45"/>
      <c r="DI272" s="45"/>
      <c r="DJ272" s="45"/>
    </row>
    <row r="273" spans="1:114" s="46" customFormat="1" ht="39" customHeight="1">
      <c r="A273" s="78" t="s">
        <v>51</v>
      </c>
      <c r="B273" s="59"/>
      <c r="C273" s="152" t="s">
        <v>211</v>
      </c>
      <c r="D273" s="189">
        <v>24.3</v>
      </c>
      <c r="E273" s="105" t="s">
        <v>87</v>
      </c>
      <c r="F273" s="6"/>
      <c r="G273" s="41"/>
      <c r="H273" s="5"/>
      <c r="I273" s="14"/>
      <c r="J273" s="45"/>
      <c r="K273" s="207">
        <f>D102+D133+D176</f>
        <v>791751.45</v>
      </c>
      <c r="L273" s="45" t="s">
        <v>375</v>
      </c>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c r="BE273" s="45"/>
      <c r="BF273" s="45"/>
      <c r="BG273" s="45"/>
      <c r="BH273" s="45"/>
      <c r="BI273" s="45"/>
      <c r="BJ273" s="45"/>
      <c r="BK273" s="45"/>
      <c r="BL273" s="45"/>
      <c r="BM273" s="45"/>
      <c r="BN273" s="45"/>
      <c r="BO273" s="45"/>
      <c r="BP273" s="45"/>
      <c r="BQ273" s="45"/>
      <c r="BR273" s="45"/>
      <c r="BS273" s="45"/>
      <c r="BT273" s="45"/>
      <c r="BU273" s="45"/>
      <c r="BV273" s="45"/>
      <c r="BW273" s="45"/>
      <c r="BX273" s="45"/>
      <c r="BY273" s="45"/>
      <c r="BZ273" s="45"/>
      <c r="CA273" s="45"/>
      <c r="CB273" s="45"/>
      <c r="CC273" s="45"/>
      <c r="CD273" s="45"/>
      <c r="CE273" s="45"/>
      <c r="CF273" s="45"/>
      <c r="CG273" s="45"/>
      <c r="CH273" s="45"/>
      <c r="CI273" s="45"/>
      <c r="CJ273" s="45"/>
      <c r="CK273" s="45"/>
      <c r="CL273" s="45"/>
      <c r="CM273" s="45"/>
      <c r="CN273" s="45"/>
      <c r="CO273" s="45"/>
      <c r="CP273" s="45"/>
      <c r="CQ273" s="45"/>
      <c r="CR273" s="45"/>
      <c r="CS273" s="45"/>
      <c r="CT273" s="45"/>
      <c r="CU273" s="45"/>
      <c r="CV273" s="45"/>
      <c r="CW273" s="45"/>
      <c r="CX273" s="45"/>
      <c r="CY273" s="45"/>
      <c r="CZ273" s="45"/>
      <c r="DA273" s="45"/>
      <c r="DB273" s="45"/>
      <c r="DC273" s="45"/>
      <c r="DD273" s="45"/>
      <c r="DE273" s="45"/>
      <c r="DF273" s="45"/>
      <c r="DG273" s="45"/>
      <c r="DH273" s="45"/>
      <c r="DI273" s="45"/>
      <c r="DJ273" s="45"/>
    </row>
    <row r="274" spans="1:114" s="46" customFormat="1" ht="24.75" customHeight="1" thickBot="1">
      <c r="A274" s="153" t="s">
        <v>15</v>
      </c>
      <c r="B274" s="39">
        <f>B273</f>
        <v>0</v>
      </c>
      <c r="C274" s="2"/>
      <c r="D274" s="89">
        <f>D273</f>
        <v>24.3</v>
      </c>
      <c r="E274" s="22"/>
      <c r="F274" s="9"/>
      <c r="G274" s="41"/>
      <c r="H274" s="50">
        <f>H273</f>
        <v>0</v>
      </c>
      <c r="I274" s="8"/>
      <c r="J274" s="45"/>
      <c r="K274" s="210">
        <f>D135+D179</f>
        <v>462480.54000000004</v>
      </c>
      <c r="L274" s="45" t="s">
        <v>376</v>
      </c>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45"/>
      <c r="BG274" s="45"/>
      <c r="BH274" s="45"/>
      <c r="BI274" s="45"/>
      <c r="BJ274" s="45"/>
      <c r="BK274" s="45"/>
      <c r="BL274" s="45"/>
      <c r="BM274" s="45"/>
      <c r="BN274" s="45"/>
      <c r="BO274" s="45"/>
      <c r="BP274" s="45"/>
      <c r="BQ274" s="45"/>
      <c r="BR274" s="45"/>
      <c r="BS274" s="45"/>
      <c r="BT274" s="45"/>
      <c r="BU274" s="45"/>
      <c r="BV274" s="45"/>
      <c r="BW274" s="45"/>
      <c r="BX274" s="45"/>
      <c r="BY274" s="45"/>
      <c r="BZ274" s="45"/>
      <c r="CA274" s="45"/>
      <c r="CB274" s="45"/>
      <c r="CC274" s="45"/>
      <c r="CD274" s="45"/>
      <c r="CE274" s="45"/>
      <c r="CF274" s="45"/>
      <c r="CG274" s="45"/>
      <c r="CH274" s="45"/>
      <c r="CI274" s="45"/>
      <c r="CJ274" s="45"/>
      <c r="CK274" s="45"/>
      <c r="CL274" s="45"/>
      <c r="CM274" s="45"/>
      <c r="CN274" s="45"/>
      <c r="CO274" s="45"/>
      <c r="CP274" s="45"/>
      <c r="CQ274" s="45"/>
      <c r="CR274" s="45"/>
      <c r="CS274" s="45"/>
      <c r="CT274" s="45"/>
      <c r="CU274" s="45"/>
      <c r="CV274" s="45"/>
      <c r="CW274" s="45"/>
      <c r="CX274" s="45"/>
      <c r="CY274" s="45"/>
      <c r="CZ274" s="45"/>
      <c r="DA274" s="45"/>
      <c r="DB274" s="45"/>
      <c r="DC274" s="45"/>
      <c r="DD274" s="45"/>
      <c r="DE274" s="45"/>
      <c r="DF274" s="45"/>
      <c r="DG274" s="45"/>
      <c r="DH274" s="45"/>
      <c r="DI274" s="45"/>
      <c r="DJ274" s="45"/>
    </row>
    <row r="275" spans="1:114" s="67" customFormat="1" ht="60.75" customHeight="1" thickBot="1">
      <c r="A275" s="163" t="s">
        <v>57</v>
      </c>
      <c r="B275" s="22">
        <f>SUM(B263+B108+B114+B119+B125+B138+B157+B162+B171+B183+B191+B272+B198+B202+B206+B213+B220+B224+B234+B238+B246+B254+B257+B260+B265+B269+B274)</f>
        <v>93604.29000000001</v>
      </c>
      <c r="C275" s="22"/>
      <c r="D275" s="101">
        <f>SUM(D263+D108+D114+D272+D119+D125+D138+D157+D162+D171+D183+D191+D198+D202+D206+D213+D220+D224+D234+D238+D246+D254+D257+D260+D265+D269+D274+D250)</f>
        <v>16526403.640000002</v>
      </c>
      <c r="E275" s="22">
        <f>SUM(E263+E92+E95+E108+E114+E272+E119+E125+E138+E157+E162+E171+E183+E191+E198+E202+E206+E213+E220+E224+E234+E238+E246+E254+E257+E260+E265+E269+E274)</f>
        <v>0</v>
      </c>
      <c r="F275" s="22">
        <f>SUM(F263+F92+F95+F108+F114+F272+F119+F125+F138+F157+F162+F171+F183+F191+F198+F202+F206+F213+F220+F224+F234+F238+F246+F254+F257+F260+F265+F269+F274)</f>
        <v>0</v>
      </c>
      <c r="G275" s="22">
        <f>SUM(G263+G92+G95+G108+G114+G272+G119+G125+G138+G157+G162+G171+G183+G191+G198+G202+G206+G213+G220+G224+G234+G238+G246+G254+G257+G260+G265+G269+G274)</f>
        <v>0</v>
      </c>
      <c r="H275" s="22">
        <f>SUM(H263+H92+H95+H108+H114+H272+H119+H125+H138+H157+H162+H171+H183+H191+H198+H202+H206+H213+H220+H224+H234+H238+H246+H254+H257+H260+H265+H269+H274)+H250</f>
        <v>0</v>
      </c>
      <c r="I275" s="22">
        <f>SUM(I263+I92+I95+I108+I114+I272+I119+I125+I138+I157+I162+I171+I183+I191+I198+I202+I206+I213+I220+I224+I234+I238+I246+I254+I257+I260+I265+I269+I274)</f>
        <v>0</v>
      </c>
      <c r="J275" s="66"/>
      <c r="K275" s="226">
        <f>D227+D216+D86+D75+D68+D55+D39+D36+D26+D21+D15+D211</f>
        <v>387711.79999999993</v>
      </c>
      <c r="L275" s="66" t="s">
        <v>382</v>
      </c>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c r="BV275" s="66"/>
      <c r="BW275" s="66"/>
      <c r="BX275" s="66"/>
      <c r="BY275" s="66"/>
      <c r="BZ275" s="66"/>
      <c r="CA275" s="66"/>
      <c r="CB275" s="66"/>
      <c r="CC275" s="66"/>
      <c r="CD275" s="66"/>
      <c r="CE275" s="66"/>
      <c r="CF275" s="66"/>
      <c r="CG275" s="66"/>
      <c r="CH275" s="66"/>
      <c r="CI275" s="66"/>
      <c r="CJ275" s="66"/>
      <c r="CK275" s="66"/>
      <c r="CL275" s="66"/>
      <c r="CM275" s="66"/>
      <c r="CN275" s="66"/>
      <c r="CO275" s="66"/>
      <c r="CP275" s="66"/>
      <c r="CQ275" s="66"/>
      <c r="CR275" s="66"/>
      <c r="CS275" s="66"/>
      <c r="CT275" s="66"/>
      <c r="CU275" s="66"/>
      <c r="CV275" s="66"/>
      <c r="CW275" s="66"/>
      <c r="CX275" s="66"/>
      <c r="CY275" s="66"/>
      <c r="CZ275" s="66"/>
      <c r="DA275" s="66"/>
      <c r="DB275" s="66"/>
      <c r="DC275" s="66"/>
      <c r="DD275" s="66"/>
      <c r="DE275" s="66"/>
      <c r="DF275" s="66"/>
      <c r="DG275" s="66"/>
      <c r="DH275" s="66"/>
      <c r="DI275" s="66"/>
      <c r="DJ275" s="66"/>
    </row>
    <row r="276" spans="1:114" s="67" customFormat="1" ht="39.75" customHeight="1" thickBot="1">
      <c r="A276" s="227" t="s">
        <v>58</v>
      </c>
      <c r="B276" s="23">
        <f>SUM(B96+B275)</f>
        <v>199945.29</v>
      </c>
      <c r="C276" s="23"/>
      <c r="D276" s="23">
        <f aca="true" t="shared" si="0" ref="D276:I276">SUM(D96+D275)</f>
        <v>17612878.980000004</v>
      </c>
      <c r="E276" s="23">
        <f t="shared" si="0"/>
        <v>0</v>
      </c>
      <c r="F276" s="23">
        <f t="shared" si="0"/>
        <v>0</v>
      </c>
      <c r="G276" s="23">
        <f t="shared" si="0"/>
        <v>0</v>
      </c>
      <c r="H276" s="23">
        <f t="shared" si="0"/>
        <v>0</v>
      </c>
      <c r="I276" s="23">
        <f t="shared" si="0"/>
        <v>0</v>
      </c>
      <c r="J276" s="66"/>
      <c r="K276" s="234">
        <f>D245+D237+D230+D210+D205+D196+D190+D181+D170+D161+D154+D136+D122+D118+D111+D106+D94+D90+D84+D81+D78+D74+D67+D58+D54+D48+D40+D35+D27+D19+D14+D201+D219</f>
        <v>200436.14</v>
      </c>
      <c r="L276" s="66" t="s">
        <v>383</v>
      </c>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J276" s="66"/>
      <c r="BK276" s="66"/>
      <c r="BL276" s="66"/>
      <c r="BM276" s="66"/>
      <c r="BN276" s="66"/>
      <c r="BO276" s="66"/>
      <c r="BP276" s="66"/>
      <c r="BQ276" s="66"/>
      <c r="BR276" s="66"/>
      <c r="BS276" s="66"/>
      <c r="BT276" s="66"/>
      <c r="BU276" s="66"/>
      <c r="BV276" s="66"/>
      <c r="BW276" s="66"/>
      <c r="BX276" s="66"/>
      <c r="BY276" s="66"/>
      <c r="BZ276" s="66"/>
      <c r="CA276" s="66"/>
      <c r="CB276" s="66"/>
      <c r="CC276" s="66"/>
      <c r="CD276" s="66"/>
      <c r="CE276" s="66"/>
      <c r="CF276" s="66"/>
      <c r="CG276" s="66"/>
      <c r="CH276" s="66"/>
      <c r="CI276" s="66"/>
      <c r="CJ276" s="66"/>
      <c r="CK276" s="66"/>
      <c r="CL276" s="66"/>
      <c r="CM276" s="66"/>
      <c r="CN276" s="66"/>
      <c r="CO276" s="66"/>
      <c r="CP276" s="66"/>
      <c r="CQ276" s="66"/>
      <c r="CR276" s="66"/>
      <c r="CS276" s="66"/>
      <c r="CT276" s="66"/>
      <c r="CU276" s="66"/>
      <c r="CV276" s="66"/>
      <c r="CW276" s="66"/>
      <c r="CX276" s="66"/>
      <c r="CY276" s="66"/>
      <c r="CZ276" s="66"/>
      <c r="DA276" s="66"/>
      <c r="DB276" s="66"/>
      <c r="DC276" s="66"/>
      <c r="DD276" s="66"/>
      <c r="DE276" s="66"/>
      <c r="DF276" s="66"/>
      <c r="DG276" s="66"/>
      <c r="DH276" s="66"/>
      <c r="DI276" s="66"/>
      <c r="DJ276" s="66"/>
    </row>
    <row r="277" spans="1:114" s="70" customFormat="1" ht="9.75" customHeight="1" hidden="1">
      <c r="A277" s="68"/>
      <c r="B277" s="68"/>
      <c r="C277" s="68"/>
      <c r="D277" s="90"/>
      <c r="E277" s="71"/>
      <c r="F277" s="69"/>
      <c r="G277" s="69"/>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c r="CJ277" s="34"/>
      <c r="CK277" s="34"/>
      <c r="CL277" s="34"/>
      <c r="CM277" s="34"/>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row>
    <row r="278" spans="1:114" s="70" customFormat="1" ht="34.5" customHeight="1">
      <c r="A278" s="71" t="s">
        <v>59</v>
      </c>
      <c r="B278" s="71"/>
      <c r="C278" s="71"/>
      <c r="D278" s="90"/>
      <c r="E278" s="71" t="s">
        <v>24</v>
      </c>
      <c r="F278" s="69"/>
      <c r="G278" s="25" t="s">
        <v>61</v>
      </c>
      <c r="H278" s="34"/>
      <c r="I278" s="34"/>
      <c r="J278" s="34"/>
      <c r="K278" s="237">
        <f>D23+D66</f>
        <v>67062.36</v>
      </c>
      <c r="L278" s="34" t="s">
        <v>384</v>
      </c>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34"/>
      <c r="CD278" s="34"/>
      <c r="CE278" s="34"/>
      <c r="CF278" s="34"/>
      <c r="CG278" s="34"/>
      <c r="CH278" s="34"/>
      <c r="CI278" s="34"/>
      <c r="CJ278" s="34"/>
      <c r="CK278" s="34"/>
      <c r="CL278" s="34"/>
      <c r="CM278" s="34"/>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row>
    <row r="279" spans="1:12" ht="20.25" customHeight="1">
      <c r="A279" s="68" t="s">
        <v>25</v>
      </c>
      <c r="B279" s="68"/>
      <c r="C279" s="26"/>
      <c r="D279" s="91"/>
      <c r="E279" s="95"/>
      <c r="F279" s="24"/>
      <c r="G279" s="24" t="s">
        <v>84</v>
      </c>
      <c r="H279" s="13"/>
      <c r="I279" s="13"/>
      <c r="K279" s="238">
        <f>D131</f>
        <v>64487.68</v>
      </c>
      <c r="L279" s="13" t="s">
        <v>385</v>
      </c>
    </row>
    <row r="280" spans="2:12" ht="26.25" customHeight="1">
      <c r="B280" s="26"/>
      <c r="C280" s="26"/>
      <c r="D280" s="91">
        <f>D276-17058077.33</f>
        <v>554801.650000006</v>
      </c>
      <c r="E280" s="93"/>
      <c r="F280" s="72"/>
      <c r="G280" s="72"/>
      <c r="H280" s="13"/>
      <c r="I280" s="47"/>
      <c r="J280" s="13" t="s">
        <v>60</v>
      </c>
      <c r="K280" s="241">
        <f>D13+D20+D28+D34+D41+D49+D52+D65+D85+D43+D88</f>
        <v>200</v>
      </c>
      <c r="L280" s="13" t="s">
        <v>386</v>
      </c>
    </row>
    <row r="281" spans="1:12" ht="20.25" customHeight="1">
      <c r="A281" s="26" t="s">
        <v>324</v>
      </c>
      <c r="B281" s="26"/>
      <c r="C281" s="179"/>
      <c r="D281" s="90"/>
      <c r="E281" s="93"/>
      <c r="F281" s="72"/>
      <c r="G281" s="72"/>
      <c r="H281" s="13"/>
      <c r="I281" s="13"/>
      <c r="K281" s="244">
        <f>D178+D159</f>
        <v>447277.27999999997</v>
      </c>
      <c r="L281" s="13" t="s">
        <v>387</v>
      </c>
    </row>
    <row r="282" spans="1:12" ht="19.5" customHeight="1">
      <c r="A282" s="27"/>
      <c r="B282" s="27"/>
      <c r="C282" s="27"/>
      <c r="D282" s="92"/>
      <c r="E282" s="27"/>
      <c r="F282" s="13"/>
      <c r="G282" s="13"/>
      <c r="H282" s="13"/>
      <c r="I282" s="13"/>
      <c r="K282" s="246">
        <f>D241+D236+D229+D209+D204+D200+D195+D188+D168+D160+D153+D155+D130+D123+D117+D110+D104+D105</f>
        <v>868917.75</v>
      </c>
      <c r="L282" s="13" t="s">
        <v>388</v>
      </c>
    </row>
    <row r="283" spans="1:12" ht="15.75">
      <c r="A283" s="27"/>
      <c r="B283" s="27"/>
      <c r="C283" s="27"/>
      <c r="D283" s="92"/>
      <c r="E283" s="27"/>
      <c r="F283" s="13"/>
      <c r="G283" s="13"/>
      <c r="H283" s="13"/>
      <c r="I283" s="13"/>
      <c r="K283" s="248">
        <f>D242</f>
        <v>622269</v>
      </c>
      <c r="L283" s="13" t="s">
        <v>389</v>
      </c>
    </row>
    <row r="284" spans="1:12" ht="15.75">
      <c r="A284" s="27"/>
      <c r="B284" s="27"/>
      <c r="C284" s="27"/>
      <c r="D284" s="92"/>
      <c r="E284" s="27"/>
      <c r="F284" s="13"/>
      <c r="G284" s="13"/>
      <c r="H284" s="13"/>
      <c r="I284" s="13"/>
      <c r="K284" s="250">
        <f>D243</f>
        <v>8164.6</v>
      </c>
      <c r="L284" s="13" t="s">
        <v>390</v>
      </c>
    </row>
    <row r="285" spans="11:12" ht="15.75">
      <c r="K285" s="47">
        <f>D231</f>
        <v>960</v>
      </c>
      <c r="L285" s="13" t="s">
        <v>391</v>
      </c>
    </row>
    <row r="286" ht="15.75">
      <c r="K286" s="44">
        <f>SUM(K262:K285)</f>
        <v>17612878.980000004</v>
      </c>
    </row>
    <row r="287" ht="15.75">
      <c r="L287" s="47"/>
    </row>
  </sheetData>
  <sheetProtection/>
  <mergeCells count="140">
    <mergeCell ref="G4:I4"/>
    <mergeCell ref="A5:I5"/>
    <mergeCell ref="A6:I6"/>
    <mergeCell ref="A7:I7"/>
    <mergeCell ref="A8:A11"/>
    <mergeCell ref="B8:E8"/>
    <mergeCell ref="F8:I8"/>
    <mergeCell ref="B9:C10"/>
    <mergeCell ref="D9:E10"/>
    <mergeCell ref="F9:G10"/>
    <mergeCell ref="H9:I10"/>
    <mergeCell ref="A12:A15"/>
    <mergeCell ref="B12:B15"/>
    <mergeCell ref="A17:A21"/>
    <mergeCell ref="B17:B21"/>
    <mergeCell ref="A23:A29"/>
    <mergeCell ref="B23:B28"/>
    <mergeCell ref="A30:A31"/>
    <mergeCell ref="B30:B31"/>
    <mergeCell ref="A33:A36"/>
    <mergeCell ref="B33:B36"/>
    <mergeCell ref="A38:A41"/>
    <mergeCell ref="B38:B41"/>
    <mergeCell ref="F38:F39"/>
    <mergeCell ref="G38:G39"/>
    <mergeCell ref="H38:H39"/>
    <mergeCell ref="I38:I39"/>
    <mergeCell ref="A43:A45"/>
    <mergeCell ref="B43:B45"/>
    <mergeCell ref="A47:A49"/>
    <mergeCell ref="B47:B49"/>
    <mergeCell ref="A51:A55"/>
    <mergeCell ref="B51:B55"/>
    <mergeCell ref="A57:A58"/>
    <mergeCell ref="B57:B58"/>
    <mergeCell ref="A60:A61"/>
    <mergeCell ref="B60:B61"/>
    <mergeCell ref="A63:A68"/>
    <mergeCell ref="B63:B68"/>
    <mergeCell ref="A70:A71"/>
    <mergeCell ref="B70:B71"/>
    <mergeCell ref="A73:A75"/>
    <mergeCell ref="B73:B75"/>
    <mergeCell ref="A77:A78"/>
    <mergeCell ref="B77:B78"/>
    <mergeCell ref="A80:A81"/>
    <mergeCell ref="B80:B81"/>
    <mergeCell ref="A83:A86"/>
    <mergeCell ref="B83:B86"/>
    <mergeCell ref="A88:A91"/>
    <mergeCell ref="B88:B91"/>
    <mergeCell ref="A93:A94"/>
    <mergeCell ref="B93:B94"/>
    <mergeCell ref="A97:A107"/>
    <mergeCell ref="B97:B107"/>
    <mergeCell ref="A109:A113"/>
    <mergeCell ref="B109:B113"/>
    <mergeCell ref="F109:F113"/>
    <mergeCell ref="G109:G113"/>
    <mergeCell ref="A115:A118"/>
    <mergeCell ref="B115:B118"/>
    <mergeCell ref="F115:F118"/>
    <mergeCell ref="G115:G118"/>
    <mergeCell ref="A120:A124"/>
    <mergeCell ref="B120:B124"/>
    <mergeCell ref="F120:F124"/>
    <mergeCell ref="G120:G124"/>
    <mergeCell ref="A126:A137"/>
    <mergeCell ref="B126:B137"/>
    <mergeCell ref="F131:F137"/>
    <mergeCell ref="G131:G137"/>
    <mergeCell ref="A149:A156"/>
    <mergeCell ref="B149:B156"/>
    <mergeCell ref="F152:F156"/>
    <mergeCell ref="G152:G156"/>
    <mergeCell ref="A158:A161"/>
    <mergeCell ref="B158:B161"/>
    <mergeCell ref="F158:F161"/>
    <mergeCell ref="G158:G161"/>
    <mergeCell ref="A163:A170"/>
    <mergeCell ref="B163:B170"/>
    <mergeCell ref="F163:F170"/>
    <mergeCell ref="G163:G170"/>
    <mergeCell ref="A172:A182"/>
    <mergeCell ref="B172:B182"/>
    <mergeCell ref="F172:F182"/>
    <mergeCell ref="G172:G182"/>
    <mergeCell ref="A184:A190"/>
    <mergeCell ref="B184:B190"/>
    <mergeCell ref="F184:F190"/>
    <mergeCell ref="G184:G190"/>
    <mergeCell ref="A192:A197"/>
    <mergeCell ref="B192:B197"/>
    <mergeCell ref="F192:F197"/>
    <mergeCell ref="G192:G197"/>
    <mergeCell ref="A199:A201"/>
    <mergeCell ref="B199:B201"/>
    <mergeCell ref="A203:A205"/>
    <mergeCell ref="B203:B205"/>
    <mergeCell ref="F203:F205"/>
    <mergeCell ref="G203:G205"/>
    <mergeCell ref="A207:A212"/>
    <mergeCell ref="B207:B212"/>
    <mergeCell ref="F207:F212"/>
    <mergeCell ref="G207:G212"/>
    <mergeCell ref="A214:A219"/>
    <mergeCell ref="B214:B219"/>
    <mergeCell ref="F217:F219"/>
    <mergeCell ref="G217:G219"/>
    <mergeCell ref="A221:A223"/>
    <mergeCell ref="B221:B223"/>
    <mergeCell ref="C221:C222"/>
    <mergeCell ref="F221:F223"/>
    <mergeCell ref="G221:G223"/>
    <mergeCell ref="A225:A233"/>
    <mergeCell ref="B225:B233"/>
    <mergeCell ref="F227:F233"/>
    <mergeCell ref="G227:G233"/>
    <mergeCell ref="A235:A237"/>
    <mergeCell ref="B235:B237"/>
    <mergeCell ref="F235:F237"/>
    <mergeCell ref="G235:G237"/>
    <mergeCell ref="A239:A245"/>
    <mergeCell ref="B239:B245"/>
    <mergeCell ref="F239:F245"/>
    <mergeCell ref="G239:G245"/>
    <mergeCell ref="A247:A249"/>
    <mergeCell ref="B247:B249"/>
    <mergeCell ref="A251:A253"/>
    <mergeCell ref="B251:B253"/>
    <mergeCell ref="A255:A256"/>
    <mergeCell ref="B255:B256"/>
    <mergeCell ref="A258:A259"/>
    <mergeCell ref="B258:B259"/>
    <mergeCell ref="A261:A262"/>
    <mergeCell ref="B261:B262"/>
    <mergeCell ref="A266:A268"/>
    <mergeCell ref="B266:B268"/>
    <mergeCell ref="A270:A271"/>
    <mergeCell ref="B270:B271"/>
  </mergeCells>
  <printOptions/>
  <pageMargins left="0.7086614173228347" right="0.31496062992125984" top="0.15748031496062992" bottom="0.35433070866141736"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DJ238"/>
  <sheetViews>
    <sheetView zoomScalePageLayoutView="0" workbookViewId="0" topLeftCell="A187">
      <selection activeCell="C203" sqref="C203"/>
    </sheetView>
  </sheetViews>
  <sheetFormatPr defaultColWidth="25.7109375" defaultRowHeight="15"/>
  <cols>
    <col min="1" max="1" width="14.28125" style="1" customWidth="1"/>
    <col min="2" max="2" width="12.57421875" style="28" customWidth="1"/>
    <col min="3" max="3" width="39.00390625" style="28" customWidth="1"/>
    <col min="4" max="4" width="11.57421875" style="73" customWidth="1"/>
    <col min="5" max="5" width="22.57421875" style="28" customWidth="1"/>
    <col min="6" max="6" width="9.28125" style="1" customWidth="1"/>
    <col min="7" max="7" width="8.8515625" style="1" customWidth="1"/>
    <col min="8" max="8" width="9.28125" style="1" customWidth="1"/>
    <col min="9" max="9" width="10.421875" style="1" customWidth="1"/>
    <col min="10" max="114" width="25.7109375" style="13" customWidth="1"/>
    <col min="115" max="16384" width="25.7109375" style="1" customWidth="1"/>
  </cols>
  <sheetData>
    <row r="1" spans="3:9" ht="18" customHeight="1">
      <c r="C1" s="1" t="s">
        <v>24</v>
      </c>
      <c r="G1" s="29" t="s">
        <v>49</v>
      </c>
      <c r="I1" s="29"/>
    </row>
    <row r="2" spans="3:9" ht="18" customHeight="1">
      <c r="C2" s="1"/>
      <c r="G2" s="29" t="s">
        <v>45</v>
      </c>
      <c r="I2" s="29"/>
    </row>
    <row r="3" spans="3:9" ht="16.5" customHeight="1">
      <c r="C3" s="1"/>
      <c r="G3" s="29" t="s">
        <v>46</v>
      </c>
      <c r="I3" s="29"/>
    </row>
    <row r="4" spans="3:9" ht="15.75">
      <c r="C4" s="1"/>
      <c r="G4" s="297"/>
      <c r="H4" s="297"/>
      <c r="I4" s="297"/>
    </row>
    <row r="5" spans="1:9" ht="15.75">
      <c r="A5" s="298" t="s">
        <v>19</v>
      </c>
      <c r="B5" s="298"/>
      <c r="C5" s="298"/>
      <c r="D5" s="298"/>
      <c r="E5" s="298"/>
      <c r="F5" s="298"/>
      <c r="G5" s="298"/>
      <c r="H5" s="298"/>
      <c r="I5" s="298"/>
    </row>
    <row r="6" spans="1:9" ht="15.75">
      <c r="A6" s="298" t="s">
        <v>94</v>
      </c>
      <c r="B6" s="298"/>
      <c r="C6" s="298"/>
      <c r="D6" s="298"/>
      <c r="E6" s="298"/>
      <c r="F6" s="298"/>
      <c r="G6" s="298"/>
      <c r="H6" s="298"/>
      <c r="I6" s="298"/>
    </row>
    <row r="7" spans="1:9" ht="26.25" customHeight="1">
      <c r="A7" s="298" t="s">
        <v>20</v>
      </c>
      <c r="B7" s="298"/>
      <c r="C7" s="298"/>
      <c r="D7" s="298"/>
      <c r="E7" s="298"/>
      <c r="F7" s="298"/>
      <c r="G7" s="298"/>
      <c r="H7" s="298"/>
      <c r="I7" s="298"/>
    </row>
    <row r="8" spans="1:10" ht="40.5" customHeight="1">
      <c r="A8" s="294" t="s">
        <v>21</v>
      </c>
      <c r="B8" s="294" t="s">
        <v>0</v>
      </c>
      <c r="C8" s="294"/>
      <c r="D8" s="294"/>
      <c r="E8" s="294"/>
      <c r="F8" s="294" t="s">
        <v>1</v>
      </c>
      <c r="G8" s="294"/>
      <c r="H8" s="294"/>
      <c r="I8" s="294"/>
      <c r="J8" s="36"/>
    </row>
    <row r="9" spans="1:10" ht="13.5" customHeight="1">
      <c r="A9" s="294"/>
      <c r="B9" s="294" t="s">
        <v>2</v>
      </c>
      <c r="C9" s="294"/>
      <c r="D9" s="299" t="s">
        <v>18</v>
      </c>
      <c r="E9" s="299"/>
      <c r="F9" s="294" t="s">
        <v>2</v>
      </c>
      <c r="G9" s="294"/>
      <c r="H9" s="294" t="s">
        <v>3</v>
      </c>
      <c r="I9" s="295"/>
      <c r="J9" s="36"/>
    </row>
    <row r="10" spans="1:10" ht="22.5" customHeight="1">
      <c r="A10" s="294"/>
      <c r="B10" s="294"/>
      <c r="C10" s="294"/>
      <c r="D10" s="299"/>
      <c r="E10" s="299"/>
      <c r="F10" s="294"/>
      <c r="G10" s="294"/>
      <c r="H10" s="295"/>
      <c r="I10" s="295"/>
      <c r="J10" s="36"/>
    </row>
    <row r="11" spans="1:10" ht="51" customHeight="1">
      <c r="A11" s="294"/>
      <c r="B11" s="16" t="s">
        <v>17</v>
      </c>
      <c r="C11" s="16" t="s">
        <v>4</v>
      </c>
      <c r="D11" s="16" t="s">
        <v>17</v>
      </c>
      <c r="E11" s="16" t="s">
        <v>5</v>
      </c>
      <c r="F11" s="14" t="s">
        <v>17</v>
      </c>
      <c r="G11" s="14" t="s">
        <v>4</v>
      </c>
      <c r="H11" s="14" t="s">
        <v>17</v>
      </c>
      <c r="I11" s="14" t="s">
        <v>6</v>
      </c>
      <c r="J11" s="36"/>
    </row>
    <row r="12" spans="1:10" ht="20.25" customHeight="1">
      <c r="A12" s="306" t="s">
        <v>63</v>
      </c>
      <c r="B12" s="296"/>
      <c r="C12" s="307"/>
      <c r="D12" s="60"/>
      <c r="E12" s="74"/>
      <c r="F12" s="37"/>
      <c r="G12" s="32"/>
      <c r="H12" s="38"/>
      <c r="I12" s="15"/>
      <c r="J12" s="36"/>
    </row>
    <row r="13" spans="1:10" ht="15" customHeight="1">
      <c r="A13" s="306"/>
      <c r="B13" s="296"/>
      <c r="C13" s="307"/>
      <c r="D13" s="16"/>
      <c r="E13" s="59"/>
      <c r="F13" s="37"/>
      <c r="G13" s="32"/>
      <c r="H13" s="38"/>
      <c r="I13" s="30"/>
      <c r="J13" s="36"/>
    </row>
    <row r="14" spans="1:114" s="46" customFormat="1" ht="20.25" customHeight="1">
      <c r="A14" s="31" t="s">
        <v>14</v>
      </c>
      <c r="B14" s="39">
        <f>SUM(B12:B13)</f>
        <v>0</v>
      </c>
      <c r="C14" s="2"/>
      <c r="D14" s="75">
        <f>D13+D12</f>
        <v>0</v>
      </c>
      <c r="E14" s="76"/>
      <c r="F14" s="40"/>
      <c r="G14" s="41"/>
      <c r="H14" s="42">
        <f>SUM(H12:H13)</f>
        <v>0</v>
      </c>
      <c r="I14" s="31"/>
      <c r="J14" s="43"/>
      <c r="K14" s="44"/>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row>
    <row r="15" spans="1:11" ht="33.75" customHeight="1">
      <c r="A15" s="306" t="s">
        <v>64</v>
      </c>
      <c r="B15" s="278"/>
      <c r="C15" s="303"/>
      <c r="D15" s="60"/>
      <c r="E15" s="74"/>
      <c r="F15" s="37"/>
      <c r="G15" s="32"/>
      <c r="H15" s="30"/>
      <c r="I15" s="15"/>
      <c r="J15" s="36"/>
      <c r="K15" s="47"/>
    </row>
    <row r="16" spans="1:11" ht="13.5" customHeight="1">
      <c r="A16" s="306"/>
      <c r="B16" s="280"/>
      <c r="C16" s="305"/>
      <c r="D16" s="60"/>
      <c r="E16" s="59"/>
      <c r="F16" s="37"/>
      <c r="G16" s="32"/>
      <c r="H16" s="30"/>
      <c r="I16" s="30"/>
      <c r="J16" s="36"/>
      <c r="K16" s="47"/>
    </row>
    <row r="17" spans="1:114" s="46" customFormat="1" ht="22.5" customHeight="1">
      <c r="A17" s="31" t="s">
        <v>14</v>
      </c>
      <c r="B17" s="39">
        <f>SUM(B15)</f>
        <v>0</v>
      </c>
      <c r="C17" s="17"/>
      <c r="D17" s="64">
        <f>D16+D15</f>
        <v>0</v>
      </c>
      <c r="E17" s="76"/>
      <c r="F17" s="40"/>
      <c r="G17" s="41"/>
      <c r="H17" s="31">
        <f>SUM(H15:H16)</f>
        <v>0</v>
      </c>
      <c r="I17" s="31"/>
      <c r="J17" s="43"/>
      <c r="K17" s="44"/>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row>
    <row r="18" spans="1:114" s="46" customFormat="1" ht="41.25" customHeight="1">
      <c r="A18" s="306" t="s">
        <v>65</v>
      </c>
      <c r="B18" s="278"/>
      <c r="C18" s="17"/>
      <c r="D18" s="16"/>
      <c r="E18" s="105"/>
      <c r="F18" s="40"/>
      <c r="G18" s="41"/>
      <c r="H18" s="30"/>
      <c r="I18" s="15"/>
      <c r="J18" s="43"/>
      <c r="K18" s="44"/>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row>
    <row r="19" spans="1:114" s="46" customFormat="1" ht="18.75" customHeight="1">
      <c r="A19" s="306"/>
      <c r="B19" s="280"/>
      <c r="C19" s="141"/>
      <c r="D19" s="16"/>
      <c r="E19" s="59"/>
      <c r="F19" s="40"/>
      <c r="G19" s="41"/>
      <c r="H19" s="30"/>
      <c r="I19" s="15"/>
      <c r="J19" s="43"/>
      <c r="K19" s="44"/>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row>
    <row r="20" spans="1:114" s="46" customFormat="1" ht="33" customHeight="1">
      <c r="A20" s="306"/>
      <c r="B20" s="39">
        <f>SUM(B18)</f>
        <v>0</v>
      </c>
      <c r="C20" s="98"/>
      <c r="D20" s="77">
        <f>SUM(D18:D19)</f>
        <v>0</v>
      </c>
      <c r="E20" s="76"/>
      <c r="F20" s="48">
        <f>F18</f>
        <v>0</v>
      </c>
      <c r="G20" s="41"/>
      <c r="H20" s="31">
        <f>SUM(H18:H18)</f>
        <v>0</v>
      </c>
      <c r="I20" s="31"/>
      <c r="J20" s="43"/>
      <c r="K20" s="4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row>
    <row r="21" spans="1:11" ht="44.25" customHeight="1">
      <c r="A21" s="300" t="s">
        <v>66</v>
      </c>
      <c r="B21" s="278"/>
      <c r="C21" s="127"/>
      <c r="D21" s="16"/>
      <c r="E21" s="74"/>
      <c r="F21" s="37"/>
      <c r="G21" s="32"/>
      <c r="H21" s="30"/>
      <c r="I21" s="15"/>
      <c r="J21" s="36"/>
      <c r="K21" s="47"/>
    </row>
    <row r="22" spans="1:11" ht="18.75" customHeight="1">
      <c r="A22" s="302"/>
      <c r="B22" s="280"/>
      <c r="C22" s="142"/>
      <c r="D22" s="143"/>
      <c r="E22" s="122"/>
      <c r="F22" s="37"/>
      <c r="G22" s="32"/>
      <c r="H22" s="30"/>
      <c r="I22" s="30"/>
      <c r="J22" s="36"/>
      <c r="K22" s="47"/>
    </row>
    <row r="23" spans="1:114" s="46" customFormat="1" ht="25.5" customHeight="1">
      <c r="A23" s="31" t="s">
        <v>15</v>
      </c>
      <c r="B23" s="39">
        <f>B21</f>
        <v>0</v>
      </c>
      <c r="C23" s="2"/>
      <c r="D23" s="79">
        <f>D22+D21</f>
        <v>0</v>
      </c>
      <c r="E23" s="80"/>
      <c r="F23" s="40"/>
      <c r="G23" s="41"/>
      <c r="H23" s="31">
        <f>SUM(H21:H22)</f>
        <v>0</v>
      </c>
      <c r="I23" s="31"/>
      <c r="J23" s="43"/>
      <c r="K23" s="44"/>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row>
    <row r="24" spans="1:114" s="46" customFormat="1" ht="36" customHeight="1">
      <c r="A24" s="300" t="s">
        <v>67</v>
      </c>
      <c r="B24" s="278"/>
      <c r="C24" s="17"/>
      <c r="D24" s="60"/>
      <c r="E24" s="105"/>
      <c r="F24" s="40"/>
      <c r="G24" s="41"/>
      <c r="H24" s="30"/>
      <c r="I24" s="15"/>
      <c r="J24" s="43"/>
      <c r="K24" s="44"/>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row>
    <row r="25" spans="1:11" ht="21.75" customHeight="1">
      <c r="A25" s="302"/>
      <c r="B25" s="280"/>
      <c r="C25" s="98"/>
      <c r="D25" s="49"/>
      <c r="E25" s="59"/>
      <c r="F25" s="37"/>
      <c r="G25" s="32"/>
      <c r="H25" s="38"/>
      <c r="I25" s="32"/>
      <c r="J25" s="36"/>
      <c r="K25" s="47"/>
    </row>
    <row r="26" spans="1:114" s="46" customFormat="1" ht="19.5" customHeight="1">
      <c r="A26" s="31" t="s">
        <v>15</v>
      </c>
      <c r="B26" s="39">
        <f>B24</f>
        <v>0</v>
      </c>
      <c r="C26" s="17"/>
      <c r="D26" s="79">
        <f>SUM(D24:D25)</f>
        <v>0</v>
      </c>
      <c r="E26" s="80"/>
      <c r="F26" s="40"/>
      <c r="G26" s="41"/>
      <c r="H26" s="42">
        <f>SUM(H24:H25)</f>
        <v>0</v>
      </c>
      <c r="I26" s="31"/>
      <c r="J26" s="43"/>
      <c r="K26" s="44"/>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row>
    <row r="27" spans="1:114" s="46" customFormat="1" ht="34.5" customHeight="1">
      <c r="A27" s="300" t="s">
        <v>68</v>
      </c>
      <c r="B27" s="278"/>
      <c r="C27" s="127"/>
      <c r="D27" s="16"/>
      <c r="E27" s="112"/>
      <c r="F27" s="292"/>
      <c r="G27" s="293"/>
      <c r="H27" s="294"/>
      <c r="I27" s="294"/>
      <c r="J27" s="43"/>
      <c r="K27" s="44"/>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row>
    <row r="28" spans="1:114" s="46" customFormat="1" ht="23.25" customHeight="1">
      <c r="A28" s="301"/>
      <c r="B28" s="279"/>
      <c r="C28" s="130"/>
      <c r="D28" s="16"/>
      <c r="E28" s="59"/>
      <c r="F28" s="292"/>
      <c r="G28" s="293"/>
      <c r="H28" s="294"/>
      <c r="I28" s="294"/>
      <c r="J28" s="43"/>
      <c r="K28" s="4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row>
    <row r="29" spans="1:114" s="46" customFormat="1" ht="21" customHeight="1">
      <c r="A29" s="302"/>
      <c r="B29" s="280"/>
      <c r="C29" s="130"/>
      <c r="D29" s="60"/>
      <c r="E29" s="59"/>
      <c r="F29" s="6"/>
      <c r="G29" s="41"/>
      <c r="H29" s="33"/>
      <c r="I29" s="33"/>
      <c r="J29" s="43"/>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row>
    <row r="30" spans="1:114" s="46" customFormat="1" ht="22.5" customHeight="1">
      <c r="A30" s="31" t="s">
        <v>15</v>
      </c>
      <c r="B30" s="39">
        <f>SUM(B27:B28)</f>
        <v>0</v>
      </c>
      <c r="C30" s="18"/>
      <c r="D30" s="79">
        <f>SUM(D27:D29)</f>
        <v>0</v>
      </c>
      <c r="E30" s="80"/>
      <c r="F30" s="50"/>
      <c r="G30" s="41"/>
      <c r="H30" s="33">
        <f>SUM(H27:H29)</f>
        <v>0</v>
      </c>
      <c r="I30" s="33"/>
      <c r="J30" s="43"/>
      <c r="K30" s="44"/>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row>
    <row r="31" spans="1:11" ht="21.75" customHeight="1">
      <c r="A31" s="300" t="s">
        <v>69</v>
      </c>
      <c r="B31" s="278"/>
      <c r="C31" s="17"/>
      <c r="D31" s="16"/>
      <c r="E31" s="81"/>
      <c r="F31" s="6"/>
      <c r="G31" s="32"/>
      <c r="H31" s="14"/>
      <c r="I31" s="14"/>
      <c r="J31" s="36"/>
      <c r="K31" s="47"/>
    </row>
    <row r="32" spans="1:11" ht="27.75" customHeight="1">
      <c r="A32" s="302"/>
      <c r="B32" s="280"/>
      <c r="C32" s="98"/>
      <c r="D32" s="16"/>
      <c r="E32" s="59"/>
      <c r="F32" s="6"/>
      <c r="G32" s="32"/>
      <c r="H32" s="14"/>
      <c r="I32" s="14"/>
      <c r="J32" s="36"/>
      <c r="K32" s="47"/>
    </row>
    <row r="33" spans="1:114" s="46" customFormat="1" ht="24" customHeight="1">
      <c r="A33" s="33" t="s">
        <v>15</v>
      </c>
      <c r="B33" s="39">
        <f>SUM(B31)</f>
        <v>0</v>
      </c>
      <c r="C33" s="18"/>
      <c r="D33" s="75">
        <f>D32+D31</f>
        <v>0</v>
      </c>
      <c r="E33" s="139"/>
      <c r="F33" s="10"/>
      <c r="G33" s="41"/>
      <c r="H33" s="33">
        <f>SUM(H31:H32)</f>
        <v>0</v>
      </c>
      <c r="I33" s="33"/>
      <c r="J33" s="43"/>
      <c r="K33" s="4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row>
    <row r="34" spans="1:114" s="46" customFormat="1" ht="24" customHeight="1">
      <c r="A34" s="300" t="s">
        <v>70</v>
      </c>
      <c r="B34" s="278"/>
      <c r="C34" s="18"/>
      <c r="D34" s="140"/>
      <c r="E34" s="59"/>
      <c r="F34" s="10"/>
      <c r="G34" s="41"/>
      <c r="H34" s="33"/>
      <c r="I34" s="33"/>
      <c r="J34" s="43"/>
      <c r="K34" s="4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row>
    <row r="35" spans="1:10" ht="24.75" customHeight="1">
      <c r="A35" s="301"/>
      <c r="B35" s="279"/>
      <c r="C35" s="307"/>
      <c r="D35" s="60"/>
      <c r="E35" s="16"/>
      <c r="F35" s="51"/>
      <c r="G35" s="32"/>
      <c r="H35" s="14"/>
      <c r="I35" s="14"/>
      <c r="J35" s="36"/>
    </row>
    <row r="36" spans="1:10" ht="15" customHeight="1">
      <c r="A36" s="302"/>
      <c r="B36" s="280"/>
      <c r="C36" s="307"/>
      <c r="D36" s="60"/>
      <c r="E36" s="107"/>
      <c r="F36" s="51"/>
      <c r="G36" s="32"/>
      <c r="H36" s="14"/>
      <c r="I36" s="14"/>
      <c r="J36" s="36"/>
    </row>
    <row r="37" spans="1:114" s="46" customFormat="1" ht="27.75" customHeight="1">
      <c r="A37" s="31" t="s">
        <v>15</v>
      </c>
      <c r="B37" s="39">
        <f>SUM(B34:B36)</f>
        <v>0</v>
      </c>
      <c r="C37" s="2"/>
      <c r="D37" s="23">
        <f>SUM(D34:D36)</f>
        <v>0</v>
      </c>
      <c r="E37" s="82"/>
      <c r="F37" s="50"/>
      <c r="G37" s="41"/>
      <c r="H37" s="33">
        <f>SUM(H35:H36)</f>
        <v>0</v>
      </c>
      <c r="I37" s="33"/>
      <c r="J37" s="43"/>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row>
    <row r="38" spans="1:10" ht="33.75" customHeight="1">
      <c r="A38" s="300" t="s">
        <v>71</v>
      </c>
      <c r="B38" s="278"/>
      <c r="C38" s="35"/>
      <c r="D38" s="16"/>
      <c r="E38" s="108"/>
      <c r="F38" s="51"/>
      <c r="G38" s="32"/>
      <c r="H38" s="14"/>
      <c r="I38" s="14"/>
      <c r="J38" s="36"/>
    </row>
    <row r="39" spans="1:10" ht="35.25" customHeight="1">
      <c r="A39" s="301"/>
      <c r="B39" s="279"/>
      <c r="C39" s="17"/>
      <c r="D39" s="103"/>
      <c r="E39" s="113"/>
      <c r="F39" s="51"/>
      <c r="G39" s="32"/>
      <c r="H39" s="14"/>
      <c r="I39" s="14"/>
      <c r="J39" s="36"/>
    </row>
    <row r="40" spans="1:10" ht="26.25" customHeight="1">
      <c r="A40" s="302"/>
      <c r="B40" s="280"/>
      <c r="C40" s="18"/>
      <c r="D40" s="103"/>
      <c r="E40" s="59"/>
      <c r="F40" s="51"/>
      <c r="G40" s="32"/>
      <c r="H40" s="14"/>
      <c r="I40" s="14"/>
      <c r="J40" s="36"/>
    </row>
    <row r="41" spans="1:114" s="46" customFormat="1" ht="27" customHeight="1">
      <c r="A41" s="31" t="s">
        <v>15</v>
      </c>
      <c r="B41" s="39">
        <f>SUM(B38:B39)</f>
        <v>0</v>
      </c>
      <c r="C41" s="98"/>
      <c r="D41" s="23">
        <f>SUM(D38:D40)</f>
        <v>0</v>
      </c>
      <c r="E41" s="82"/>
      <c r="F41" s="50"/>
      <c r="G41" s="41"/>
      <c r="H41" s="33">
        <f>H38</f>
        <v>0</v>
      </c>
      <c r="I41" s="33"/>
      <c r="J41" s="43"/>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row>
    <row r="42" spans="1:114" s="46" customFormat="1" ht="21" customHeight="1">
      <c r="A42" s="300" t="s">
        <v>7</v>
      </c>
      <c r="B42" s="278"/>
      <c r="C42" s="303"/>
      <c r="D42" s="60"/>
      <c r="E42" s="16"/>
      <c r="F42" s="50"/>
      <c r="G42" s="41"/>
      <c r="H42" s="14"/>
      <c r="I42" s="14"/>
      <c r="J42" s="43"/>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row>
    <row r="43" spans="1:10" ht="34.5" customHeight="1">
      <c r="A43" s="302"/>
      <c r="B43" s="280"/>
      <c r="C43" s="305"/>
      <c r="D43" s="16"/>
      <c r="E43" s="59"/>
      <c r="F43" s="6"/>
      <c r="G43" s="32"/>
      <c r="H43" s="14"/>
      <c r="I43" s="14"/>
      <c r="J43" s="36"/>
    </row>
    <row r="44" spans="1:114" s="46" customFormat="1" ht="23.25" customHeight="1">
      <c r="A44" s="31" t="s">
        <v>15</v>
      </c>
      <c r="B44" s="39">
        <f>SUM(B42)</f>
        <v>0</v>
      </c>
      <c r="C44" s="17"/>
      <c r="D44" s="22">
        <f>D43+D42</f>
        <v>0</v>
      </c>
      <c r="E44" s="60"/>
      <c r="F44" s="50"/>
      <c r="G44" s="41"/>
      <c r="H44" s="33">
        <f>SUM(H42:H43)</f>
        <v>0</v>
      </c>
      <c r="I44" s="33"/>
      <c r="J44" s="43"/>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row>
    <row r="45" spans="1:114" s="46" customFormat="1" ht="32.25" customHeight="1">
      <c r="A45" s="300" t="s">
        <v>16</v>
      </c>
      <c r="B45" s="278"/>
      <c r="C45" s="18"/>
      <c r="D45" s="16"/>
      <c r="E45" s="16"/>
      <c r="F45" s="50"/>
      <c r="G45" s="41"/>
      <c r="H45" s="14"/>
      <c r="I45" s="14"/>
      <c r="J45" s="43"/>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row>
    <row r="46" spans="1:10" ht="16.5" customHeight="1">
      <c r="A46" s="302"/>
      <c r="B46" s="280"/>
      <c r="C46" s="18"/>
      <c r="D46" s="78"/>
      <c r="E46" s="59"/>
      <c r="F46" s="6"/>
      <c r="G46" s="32"/>
      <c r="H46" s="14"/>
      <c r="I46" s="14"/>
      <c r="J46" s="36"/>
    </row>
    <row r="47" spans="1:114" s="46" customFormat="1" ht="27.75" customHeight="1">
      <c r="A47" s="31" t="s">
        <v>15</v>
      </c>
      <c r="B47" s="39">
        <f>SUM(B45:B45)</f>
        <v>0</v>
      </c>
      <c r="C47" s="145"/>
      <c r="D47" s="23">
        <f>D46+D45</f>
        <v>0</v>
      </c>
      <c r="E47" s="82"/>
      <c r="F47" s="50"/>
      <c r="G47" s="41"/>
      <c r="H47" s="33">
        <f>SUM(H45:H46)</f>
        <v>0</v>
      </c>
      <c r="I47" s="33"/>
      <c r="J47" s="43"/>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row>
    <row r="48" spans="1:114" s="46" customFormat="1" ht="27.75" customHeight="1">
      <c r="A48" s="300" t="s">
        <v>8</v>
      </c>
      <c r="B48" s="278"/>
      <c r="C48" s="99"/>
      <c r="D48" s="60"/>
      <c r="E48" s="59"/>
      <c r="F48" s="50"/>
      <c r="G48" s="41"/>
      <c r="H48" s="33"/>
      <c r="I48" s="33"/>
      <c r="J48" s="43"/>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row>
    <row r="49" spans="1:114" s="46" customFormat="1" ht="24.75" customHeight="1">
      <c r="A49" s="301"/>
      <c r="B49" s="279"/>
      <c r="C49" s="303"/>
      <c r="D49" s="60"/>
      <c r="E49" s="100"/>
      <c r="F49" s="50"/>
      <c r="G49" s="41"/>
      <c r="H49" s="33"/>
      <c r="I49" s="33"/>
      <c r="J49" s="43"/>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row>
    <row r="50" spans="1:10" ht="15.75" customHeight="1">
      <c r="A50" s="302"/>
      <c r="B50" s="280"/>
      <c r="C50" s="305"/>
      <c r="D50" s="16"/>
      <c r="E50" s="108"/>
      <c r="F50" s="5"/>
      <c r="G50" s="32"/>
      <c r="H50" s="14"/>
      <c r="I50" s="14"/>
      <c r="J50" s="36"/>
    </row>
    <row r="51" spans="1:114" s="46" customFormat="1" ht="31.5" customHeight="1">
      <c r="A51" s="31" t="s">
        <v>15</v>
      </c>
      <c r="B51" s="39">
        <f>SUM(B48)</f>
        <v>0</v>
      </c>
      <c r="C51" s="17"/>
      <c r="D51" s="22">
        <f>SUM(D48:D50)</f>
        <v>0</v>
      </c>
      <c r="E51" s="82"/>
      <c r="F51" s="50"/>
      <c r="G51" s="41"/>
      <c r="H51" s="33">
        <f>SUM(H49:H50)</f>
        <v>0</v>
      </c>
      <c r="I51" s="33"/>
      <c r="J51" s="43"/>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row>
    <row r="52" spans="1:114" s="46" customFormat="1" ht="15" customHeight="1">
      <c r="A52" s="300" t="s">
        <v>9</v>
      </c>
      <c r="B52" s="278"/>
      <c r="C52" s="303"/>
      <c r="D52" s="59"/>
      <c r="E52" s="74"/>
      <c r="F52" s="50"/>
      <c r="G52" s="41"/>
      <c r="H52" s="33"/>
      <c r="I52" s="33"/>
      <c r="J52" s="43"/>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row>
    <row r="53" spans="1:10" ht="32.25" customHeight="1">
      <c r="A53" s="302"/>
      <c r="B53" s="280"/>
      <c r="C53" s="305"/>
      <c r="D53" s="16"/>
      <c r="E53" s="16"/>
      <c r="F53" s="5"/>
      <c r="G53" s="32"/>
      <c r="H53" s="12"/>
      <c r="I53" s="14"/>
      <c r="J53" s="36"/>
    </row>
    <row r="54" spans="1:114" s="46" customFormat="1" ht="19.5" customHeight="1">
      <c r="A54" s="31" t="s">
        <v>15</v>
      </c>
      <c r="B54" s="39">
        <f>B52</f>
        <v>0</v>
      </c>
      <c r="C54" s="18"/>
      <c r="D54" s="22">
        <f>D53+D52</f>
        <v>0</v>
      </c>
      <c r="E54" s="82"/>
      <c r="F54" s="50">
        <f>F53</f>
        <v>0</v>
      </c>
      <c r="G54" s="41"/>
      <c r="H54" s="33">
        <f>SUM(H52:H53)</f>
        <v>0</v>
      </c>
      <c r="I54" s="33"/>
      <c r="J54" s="43"/>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row>
    <row r="55" spans="1:114" s="46" customFormat="1" ht="32.25" customHeight="1">
      <c r="A55" s="300" t="s">
        <v>10</v>
      </c>
      <c r="B55" s="278"/>
      <c r="C55" s="17"/>
      <c r="D55" s="59"/>
      <c r="E55" s="74"/>
      <c r="F55" s="50"/>
      <c r="G55" s="41"/>
      <c r="H55" s="33"/>
      <c r="I55" s="33"/>
      <c r="J55" s="43"/>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row>
    <row r="56" spans="1:10" ht="23.25" customHeight="1">
      <c r="A56" s="302"/>
      <c r="B56" s="280"/>
      <c r="C56" s="98"/>
      <c r="D56" s="16"/>
      <c r="E56" s="59"/>
      <c r="F56" s="5"/>
      <c r="G56" s="32"/>
      <c r="H56" s="14"/>
      <c r="I56" s="14"/>
      <c r="J56" s="36"/>
    </row>
    <row r="57" spans="1:114" s="46" customFormat="1" ht="21.75" customHeight="1">
      <c r="A57" s="31" t="s">
        <v>15</v>
      </c>
      <c r="B57" s="39">
        <f>SUM(B55:B55)</f>
        <v>0</v>
      </c>
      <c r="C57" s="17"/>
      <c r="D57" s="22">
        <f>D56+D55</f>
        <v>0</v>
      </c>
      <c r="E57" s="60"/>
      <c r="F57" s="50"/>
      <c r="G57" s="41"/>
      <c r="H57" s="33">
        <f>SUM(H55:H56)</f>
        <v>0</v>
      </c>
      <c r="I57" s="33"/>
      <c r="J57" s="43"/>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row>
    <row r="58" spans="1:114" s="46" customFormat="1" ht="34.5" customHeight="1">
      <c r="A58" s="300" t="s">
        <v>11</v>
      </c>
      <c r="B58" s="278"/>
      <c r="C58" s="17"/>
      <c r="D58" s="59"/>
      <c r="E58" s="74"/>
      <c r="F58" s="5"/>
      <c r="G58" s="32"/>
      <c r="H58" s="14"/>
      <c r="I58" s="14"/>
      <c r="J58" s="43"/>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row>
    <row r="59" spans="1:10" ht="23.25" customHeight="1">
      <c r="A59" s="302"/>
      <c r="B59" s="280"/>
      <c r="C59" s="98"/>
      <c r="D59" s="16"/>
      <c r="E59" s="59"/>
      <c r="F59" s="5"/>
      <c r="G59" s="32"/>
      <c r="H59" s="14"/>
      <c r="I59" s="14"/>
      <c r="J59" s="36"/>
    </row>
    <row r="60" spans="1:114" s="46" customFormat="1" ht="30" customHeight="1">
      <c r="A60" s="31" t="s">
        <v>15</v>
      </c>
      <c r="B60" s="52">
        <f>SUM(B58:B58)</f>
        <v>0</v>
      </c>
      <c r="C60" s="98"/>
      <c r="D60" s="22">
        <f>D59+D58</f>
        <v>0</v>
      </c>
      <c r="E60" s="60"/>
      <c r="F60" s="50">
        <f>F59+F58</f>
        <v>0</v>
      </c>
      <c r="G60" s="41"/>
      <c r="H60" s="33">
        <f>SUM(H58:H59)</f>
        <v>0</v>
      </c>
      <c r="I60" s="33"/>
      <c r="J60" s="43"/>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row>
    <row r="61" spans="1:114" s="46" customFormat="1" ht="13.5" customHeight="1">
      <c r="A61" s="300" t="s">
        <v>12</v>
      </c>
      <c r="B61" s="278"/>
      <c r="C61" s="303"/>
      <c r="D61" s="59"/>
      <c r="E61" s="74"/>
      <c r="F61" s="50"/>
      <c r="G61" s="41"/>
      <c r="H61" s="33"/>
      <c r="I61" s="33"/>
      <c r="J61" s="43"/>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row>
    <row r="62" spans="1:10" ht="23.25" customHeight="1">
      <c r="A62" s="302"/>
      <c r="B62" s="280"/>
      <c r="C62" s="305"/>
      <c r="D62" s="16"/>
      <c r="E62" s="16"/>
      <c r="F62" s="5"/>
      <c r="G62" s="32"/>
      <c r="H62" s="14"/>
      <c r="I62" s="14"/>
      <c r="J62" s="36"/>
    </row>
    <row r="63" spans="1:114" s="46" customFormat="1" ht="24.75" customHeight="1">
      <c r="A63" s="31" t="s">
        <v>15</v>
      </c>
      <c r="B63" s="39">
        <f>SUM(B61:B61)</f>
        <v>0</v>
      </c>
      <c r="C63" s="98"/>
      <c r="D63" s="22">
        <f>D62+D61</f>
        <v>0</v>
      </c>
      <c r="E63" s="82"/>
      <c r="F63" s="50"/>
      <c r="G63" s="41"/>
      <c r="H63" s="33">
        <f>SUM(H61:H62)</f>
        <v>0</v>
      </c>
      <c r="I63" s="33"/>
      <c r="J63" s="43"/>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row>
    <row r="64" spans="1:114" s="46" customFormat="1" ht="23.25" customHeight="1">
      <c r="A64" s="300" t="s">
        <v>13</v>
      </c>
      <c r="B64" s="278"/>
      <c r="C64" s="17"/>
      <c r="D64" s="16"/>
      <c r="E64" s="16"/>
      <c r="F64" s="50"/>
      <c r="G64" s="41"/>
      <c r="H64" s="14"/>
      <c r="I64" s="14"/>
      <c r="J64" s="43"/>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row>
    <row r="65" spans="1:10" ht="27" customHeight="1">
      <c r="A65" s="302"/>
      <c r="B65" s="280"/>
      <c r="C65" s="98"/>
      <c r="D65" s="78"/>
      <c r="E65" s="59"/>
      <c r="F65" s="5"/>
      <c r="G65" s="32"/>
      <c r="H65" s="14"/>
      <c r="I65" s="14"/>
      <c r="J65" s="36"/>
    </row>
    <row r="66" spans="1:10" ht="21.75" customHeight="1">
      <c r="A66" s="31" t="s">
        <v>15</v>
      </c>
      <c r="B66" s="39">
        <f>SUM(B64:B64)</f>
        <v>0</v>
      </c>
      <c r="C66" s="98"/>
      <c r="D66" s="22">
        <f>D65+D64</f>
        <v>0</v>
      </c>
      <c r="E66" s="82"/>
      <c r="F66" s="50">
        <f>F65</f>
        <v>0</v>
      </c>
      <c r="G66" s="32"/>
      <c r="H66" s="33">
        <f>SUM(H64:H65)</f>
        <v>0</v>
      </c>
      <c r="I66" s="14"/>
      <c r="J66" s="36"/>
    </row>
    <row r="67" spans="1:10" s="56" customFormat="1" ht="24" customHeight="1">
      <c r="A67" s="268" t="s">
        <v>83</v>
      </c>
      <c r="B67" s="278"/>
      <c r="C67" s="17"/>
      <c r="D67" s="49"/>
      <c r="E67" s="74"/>
      <c r="F67" s="54"/>
      <c r="G67" s="4"/>
      <c r="H67" s="10"/>
      <c r="I67" s="11"/>
      <c r="J67" s="55"/>
    </row>
    <row r="68" spans="1:10" ht="32.25" customHeight="1">
      <c r="A68" s="269"/>
      <c r="B68" s="280"/>
      <c r="C68" s="98"/>
      <c r="D68" s="16"/>
      <c r="E68" s="59"/>
      <c r="F68" s="5"/>
      <c r="G68" s="32"/>
      <c r="H68" s="14"/>
      <c r="I68" s="14"/>
      <c r="J68" s="43"/>
    </row>
    <row r="69" spans="1:114" s="46" customFormat="1" ht="18" customHeight="1">
      <c r="A69" s="31" t="s">
        <v>15</v>
      </c>
      <c r="B69" s="39">
        <f>SUM(B67:B67)</f>
        <v>0</v>
      </c>
      <c r="C69" s="98"/>
      <c r="D69" s="22">
        <f>D68+D67</f>
        <v>0</v>
      </c>
      <c r="E69" s="23"/>
      <c r="F69" s="50">
        <f>F68</f>
        <v>0</v>
      </c>
      <c r="G69" s="41"/>
      <c r="H69" s="9">
        <f>SUM(H67:H68)</f>
        <v>0</v>
      </c>
      <c r="I69" s="33"/>
      <c r="J69" s="43"/>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row>
    <row r="70" spans="1:114" s="46" customFormat="1" ht="21" customHeight="1">
      <c r="A70" s="268" t="s">
        <v>82</v>
      </c>
      <c r="B70" s="278"/>
      <c r="C70" s="17"/>
      <c r="D70" s="16"/>
      <c r="E70" s="16"/>
      <c r="F70" s="50"/>
      <c r="G70" s="41"/>
      <c r="H70" s="14"/>
      <c r="I70" s="14"/>
      <c r="J70" s="43"/>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row>
    <row r="71" spans="1:10" ht="26.25" customHeight="1">
      <c r="A71" s="269"/>
      <c r="B71" s="280"/>
      <c r="C71" s="98"/>
      <c r="D71" s="59"/>
      <c r="E71" s="59"/>
      <c r="F71" s="5"/>
      <c r="G71" s="32"/>
      <c r="H71" s="33"/>
      <c r="I71" s="33"/>
      <c r="J71" s="43"/>
    </row>
    <row r="72" spans="1:114" s="46" customFormat="1" ht="30.75" customHeight="1">
      <c r="A72" s="31" t="s">
        <v>15</v>
      </c>
      <c r="B72" s="39">
        <f>SUM(B70:B70)</f>
        <v>0</v>
      </c>
      <c r="C72" s="98"/>
      <c r="D72" s="22">
        <f>D71+D70</f>
        <v>0</v>
      </c>
      <c r="E72" s="23"/>
      <c r="F72" s="50">
        <f>F71</f>
        <v>0</v>
      </c>
      <c r="G72" s="41"/>
      <c r="H72" s="33">
        <f>SUM(H70:H71)</f>
        <v>0</v>
      </c>
      <c r="I72" s="33"/>
      <c r="J72" s="43"/>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row>
    <row r="73" spans="1:114" s="46" customFormat="1" ht="30.75" customHeight="1">
      <c r="A73" s="53" t="s">
        <v>44</v>
      </c>
      <c r="B73" s="22">
        <f>B72+B69+B66+B63+B60+B57+B54+B51+B47+B44+B41+B37+B33+B30+B26+B23+B20+B17+B14</f>
        <v>0</v>
      </c>
      <c r="C73" s="3"/>
      <c r="D73" s="22">
        <f>D72+D69+D66+D63+D60+D57+D54+D51+D47+D44+D41+D37+D33+D30+D26+D23+D20+D17+D14</f>
        <v>0</v>
      </c>
      <c r="E73" s="23"/>
      <c r="F73" s="22">
        <f>F72+F69+F66+F63+F60+F57+F54+F51+F47+F44+F41+F37+F33+F30+F26+F23+F20+F17+F14</f>
        <v>0</v>
      </c>
      <c r="G73" s="4"/>
      <c r="H73" s="22">
        <f>H72+H69+H66+H63+H60+H57+H54+H51+H47+H44+H41+H37+H33+H30+H26+H23+H20+H17+H14</f>
        <v>0</v>
      </c>
      <c r="I73" s="120"/>
      <c r="J73" s="43"/>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row>
    <row r="74" spans="1:114" s="46" customFormat="1" ht="40.5" customHeight="1">
      <c r="A74" s="300" t="s">
        <v>72</v>
      </c>
      <c r="B74" s="278"/>
      <c r="C74" s="127" t="s">
        <v>89</v>
      </c>
      <c r="D74" s="122">
        <v>22321.38</v>
      </c>
      <c r="E74" s="105" t="s">
        <v>87</v>
      </c>
      <c r="F74" s="118"/>
      <c r="G74" s="119"/>
      <c r="H74" s="33"/>
      <c r="I74" s="120"/>
      <c r="J74" s="43"/>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row>
    <row r="75" spans="1:114" s="46" customFormat="1" ht="120" customHeight="1">
      <c r="A75" s="301"/>
      <c r="B75" s="279"/>
      <c r="C75" s="127" t="s">
        <v>90</v>
      </c>
      <c r="D75" s="122">
        <v>151722</v>
      </c>
      <c r="E75" s="105" t="s">
        <v>80</v>
      </c>
      <c r="F75" s="118"/>
      <c r="G75" s="119"/>
      <c r="H75" s="33"/>
      <c r="I75" s="120"/>
      <c r="J75" s="43"/>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row>
    <row r="76" spans="1:114" s="46" customFormat="1" ht="28.5" customHeight="1">
      <c r="A76" s="301"/>
      <c r="B76" s="279"/>
      <c r="C76" s="121" t="s">
        <v>81</v>
      </c>
      <c r="D76" s="144">
        <f>673.92</f>
        <v>673.92</v>
      </c>
      <c r="E76" s="105" t="s">
        <v>91</v>
      </c>
      <c r="F76" s="118"/>
      <c r="G76" s="119"/>
      <c r="H76" s="33"/>
      <c r="I76" s="120"/>
      <c r="J76" s="43"/>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row>
    <row r="77" spans="1:114" s="46" customFormat="1" ht="36.75" customHeight="1">
      <c r="A77" s="301"/>
      <c r="B77" s="279"/>
      <c r="C77" s="128" t="s">
        <v>81</v>
      </c>
      <c r="D77" s="109">
        <v>1280.45</v>
      </c>
      <c r="E77" s="59" t="s">
        <v>92</v>
      </c>
      <c r="F77" s="118"/>
      <c r="G77" s="119"/>
      <c r="H77" s="33"/>
      <c r="I77" s="120"/>
      <c r="J77" s="43"/>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row>
    <row r="78" spans="1:114" s="46" customFormat="1" ht="36.75" customHeight="1">
      <c r="A78" s="301"/>
      <c r="B78" s="279"/>
      <c r="C78" s="136"/>
      <c r="D78" s="109"/>
      <c r="E78" s="117"/>
      <c r="F78" s="118"/>
      <c r="G78" s="119"/>
      <c r="H78" s="33"/>
      <c r="I78" s="120"/>
      <c r="J78" s="43"/>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row>
    <row r="79" spans="1:114" s="46" customFormat="1" ht="32.25" customHeight="1">
      <c r="A79" s="301"/>
      <c r="B79" s="279"/>
      <c r="C79" s="136"/>
      <c r="D79" s="109"/>
      <c r="E79" s="117"/>
      <c r="F79" s="118"/>
      <c r="G79" s="119"/>
      <c r="H79" s="33"/>
      <c r="I79" s="120"/>
      <c r="J79" s="43"/>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row>
    <row r="80" spans="1:114" s="46" customFormat="1" ht="35.25" customHeight="1">
      <c r="A80" s="301"/>
      <c r="B80" s="279"/>
      <c r="C80" s="146"/>
      <c r="D80" s="109"/>
      <c r="E80" s="106"/>
      <c r="F80" s="288"/>
      <c r="G80" s="268"/>
      <c r="H80" s="12"/>
      <c r="I80" s="15"/>
      <c r="J80" s="43"/>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row>
    <row r="81" spans="1:114" s="46" customFormat="1" ht="48" customHeight="1">
      <c r="A81" s="301"/>
      <c r="B81" s="279"/>
      <c r="C81" s="146"/>
      <c r="D81" s="109"/>
      <c r="E81" s="100"/>
      <c r="F81" s="289"/>
      <c r="G81" s="271"/>
      <c r="H81" s="12"/>
      <c r="I81" s="15"/>
      <c r="J81" s="43"/>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row>
    <row r="82" spans="1:114" s="46" customFormat="1" ht="18" customHeight="1">
      <c r="A82" s="301"/>
      <c r="B82" s="279"/>
      <c r="C82" s="146"/>
      <c r="D82" s="109"/>
      <c r="E82" s="106"/>
      <c r="F82" s="289"/>
      <c r="G82" s="271"/>
      <c r="H82" s="12"/>
      <c r="I82" s="15"/>
      <c r="J82" s="43"/>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row>
    <row r="83" spans="1:114" s="46" customFormat="1" ht="17.25" customHeight="1">
      <c r="A83" s="301"/>
      <c r="B83" s="279"/>
      <c r="C83" s="146"/>
      <c r="D83" s="109"/>
      <c r="E83" s="109"/>
      <c r="F83" s="289"/>
      <c r="G83" s="271"/>
      <c r="H83" s="12"/>
      <c r="I83" s="15"/>
      <c r="J83" s="43"/>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row>
    <row r="84" spans="1:114" s="46" customFormat="1" ht="25.5" customHeight="1">
      <c r="A84" s="301"/>
      <c r="B84" s="279"/>
      <c r="C84" s="146"/>
      <c r="D84" s="109"/>
      <c r="E84" s="106"/>
      <c r="F84" s="289"/>
      <c r="G84" s="271"/>
      <c r="H84" s="12"/>
      <c r="I84" s="15"/>
      <c r="J84" s="43"/>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row>
    <row r="85" spans="1:114" s="46" customFormat="1" ht="26.25" customHeight="1">
      <c r="A85" s="301"/>
      <c r="B85" s="279"/>
      <c r="C85" s="146"/>
      <c r="D85" s="109"/>
      <c r="E85" s="106"/>
      <c r="F85" s="289"/>
      <c r="G85" s="271"/>
      <c r="H85" s="12"/>
      <c r="I85" s="15"/>
      <c r="J85" s="43"/>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row>
    <row r="86" spans="1:114" s="46" customFormat="1" ht="21" customHeight="1">
      <c r="A86" s="302"/>
      <c r="B86" s="280"/>
      <c r="C86" s="146"/>
      <c r="D86" s="122"/>
      <c r="E86" s="106"/>
      <c r="F86" s="290"/>
      <c r="G86" s="269"/>
      <c r="H86" s="12"/>
      <c r="I86" s="15"/>
      <c r="J86" s="43"/>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row>
    <row r="87" spans="1:114" s="46" customFormat="1" ht="27.75" customHeight="1">
      <c r="A87" s="31" t="s">
        <v>15</v>
      </c>
      <c r="B87" s="39">
        <f>B74</f>
        <v>0</v>
      </c>
      <c r="C87" s="2"/>
      <c r="D87" s="22">
        <f>SUM(D74:D86)</f>
        <v>175997.75000000003</v>
      </c>
      <c r="E87" s="23"/>
      <c r="F87" s="50">
        <f>F80</f>
        <v>0</v>
      </c>
      <c r="G87" s="41"/>
      <c r="H87" s="9">
        <f>SUM(H80:H86)</f>
        <v>0</v>
      </c>
      <c r="I87" s="33"/>
      <c r="J87" s="43"/>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row>
    <row r="88" spans="1:114" s="46" customFormat="1" ht="24" customHeight="1">
      <c r="A88" s="300" t="s">
        <v>28</v>
      </c>
      <c r="B88" s="278"/>
      <c r="C88" s="272"/>
      <c r="D88" s="16"/>
      <c r="E88" s="16"/>
      <c r="F88" s="288"/>
      <c r="G88" s="268"/>
      <c r="H88" s="9"/>
      <c r="I88" s="33"/>
      <c r="J88" s="43"/>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row>
    <row r="89" spans="1:114" s="46" customFormat="1" ht="21.75" customHeight="1">
      <c r="A89" s="301"/>
      <c r="B89" s="279"/>
      <c r="C89" s="287"/>
      <c r="D89" s="59"/>
      <c r="E89" s="74"/>
      <c r="F89" s="289"/>
      <c r="G89" s="271"/>
      <c r="H89" s="14"/>
      <c r="I89" s="14"/>
      <c r="J89" s="43"/>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row>
    <row r="90" spans="1:9" ht="2.25" customHeight="1" hidden="1">
      <c r="A90" s="302"/>
      <c r="B90" s="280"/>
      <c r="C90" s="273"/>
      <c r="D90" s="59"/>
      <c r="E90" s="83"/>
      <c r="F90" s="290"/>
      <c r="G90" s="269"/>
      <c r="H90" s="57"/>
      <c r="I90" s="14"/>
    </row>
    <row r="91" spans="1:114" s="46" customFormat="1" ht="19.5" customHeight="1">
      <c r="A91" s="31" t="s">
        <v>15</v>
      </c>
      <c r="B91" s="39">
        <f>SUM(B88:B88)</f>
        <v>0</v>
      </c>
      <c r="C91" s="2"/>
      <c r="D91" s="101">
        <f>SUM(D88:D90)</f>
        <v>0</v>
      </c>
      <c r="E91" s="84"/>
      <c r="F91" s="50">
        <f>F88</f>
        <v>0</v>
      </c>
      <c r="G91" s="41"/>
      <c r="H91" s="8">
        <f>SUM(H89:H90)</f>
        <v>0</v>
      </c>
      <c r="I91" s="33"/>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row>
    <row r="92" spans="1:114" s="46" customFormat="1" ht="38.25" customHeight="1">
      <c r="A92" s="300" t="s">
        <v>55</v>
      </c>
      <c r="B92" s="278"/>
      <c r="C92" s="21"/>
      <c r="D92" s="82"/>
      <c r="E92" s="16"/>
      <c r="F92" s="288"/>
      <c r="G92" s="268"/>
      <c r="H92" s="8"/>
      <c r="I92" s="33"/>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row>
    <row r="93" spans="1:114" s="46" customFormat="1" ht="21.75" customHeight="1">
      <c r="A93" s="302"/>
      <c r="B93" s="280"/>
      <c r="C93" s="114"/>
      <c r="D93" s="59"/>
      <c r="E93" s="59"/>
      <c r="F93" s="290"/>
      <c r="G93" s="269"/>
      <c r="H93" s="58"/>
      <c r="I93" s="58"/>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row>
    <row r="94" spans="1:114" s="46" customFormat="1" ht="26.25" customHeight="1">
      <c r="A94" s="31" t="s">
        <v>15</v>
      </c>
      <c r="B94" s="39">
        <f>SUM(B92:B93)</f>
        <v>0</v>
      </c>
      <c r="C94" s="3"/>
      <c r="D94" s="23">
        <f>SUM(D92:D93)</f>
        <v>0</v>
      </c>
      <c r="E94" s="23"/>
      <c r="F94" s="10">
        <f>F92</f>
        <v>0</v>
      </c>
      <c r="G94" s="41"/>
      <c r="H94" s="8">
        <f>SUM(H92:H93)</f>
        <v>0</v>
      </c>
      <c r="I94" s="33"/>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row>
    <row r="95" spans="1:114" s="46" customFormat="1" ht="32.25" customHeight="1">
      <c r="A95" s="300" t="s">
        <v>54</v>
      </c>
      <c r="B95" s="284"/>
      <c r="C95" s="19"/>
      <c r="D95" s="83"/>
      <c r="E95" s="16"/>
      <c r="F95" s="266"/>
      <c r="G95" s="268"/>
      <c r="H95" s="57"/>
      <c r="I95" s="14"/>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row>
    <row r="96" spans="1:114" s="46" customFormat="1" ht="32.25" customHeight="1">
      <c r="A96" s="301"/>
      <c r="B96" s="285"/>
      <c r="C96" s="136"/>
      <c r="D96" s="109"/>
      <c r="E96" s="117"/>
      <c r="F96" s="270"/>
      <c r="G96" s="271"/>
      <c r="H96" s="57"/>
      <c r="I96" s="14"/>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row>
    <row r="97" spans="1:114" s="46" customFormat="1" ht="16.5" customHeight="1">
      <c r="A97" s="302"/>
      <c r="B97" s="286"/>
      <c r="C97" s="128"/>
      <c r="D97" s="109"/>
      <c r="E97" s="59"/>
      <c r="F97" s="267"/>
      <c r="G97" s="269"/>
      <c r="H97" s="8"/>
      <c r="I97" s="33"/>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row>
    <row r="98" spans="1:114" s="46" customFormat="1" ht="24" customHeight="1">
      <c r="A98" s="31" t="s">
        <v>15</v>
      </c>
      <c r="B98" s="39">
        <f>SUM(B95:B97)</f>
        <v>0</v>
      </c>
      <c r="C98" s="3"/>
      <c r="D98" s="22">
        <f>SUM(D95:D97)</f>
        <v>0</v>
      </c>
      <c r="E98" s="23"/>
      <c r="F98" s="10">
        <f>F95</f>
        <v>0</v>
      </c>
      <c r="G98" s="41"/>
      <c r="H98" s="8">
        <f>SUM(H95:H97)</f>
        <v>0</v>
      </c>
      <c r="I98" s="33"/>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row>
    <row r="99" spans="1:114" s="46" customFormat="1" ht="39" customHeight="1">
      <c r="A99" s="300" t="s">
        <v>73</v>
      </c>
      <c r="B99" s="278"/>
      <c r="C99" s="121" t="s">
        <v>81</v>
      </c>
      <c r="D99" s="144">
        <v>1979.64</v>
      </c>
      <c r="E99" s="105" t="s">
        <v>91</v>
      </c>
      <c r="F99" s="123"/>
      <c r="G99" s="119"/>
      <c r="H99" s="8"/>
      <c r="I99" s="33"/>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row>
    <row r="100" spans="1:114" s="46" customFormat="1" ht="30" customHeight="1">
      <c r="A100" s="301"/>
      <c r="B100" s="279"/>
      <c r="C100" s="128" t="s">
        <v>81</v>
      </c>
      <c r="D100" s="109">
        <v>1280.45</v>
      </c>
      <c r="E100" s="59" t="s">
        <v>92</v>
      </c>
      <c r="F100" s="123"/>
      <c r="G100" s="119"/>
      <c r="H100" s="8"/>
      <c r="I100" s="33"/>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row>
    <row r="101" spans="1:114" s="46" customFormat="1" ht="27.75" customHeight="1">
      <c r="A101" s="301"/>
      <c r="B101" s="279"/>
      <c r="C101" s="128"/>
      <c r="D101" s="109"/>
      <c r="E101" s="117"/>
      <c r="F101" s="123"/>
      <c r="G101" s="119"/>
      <c r="H101" s="8"/>
      <c r="I101" s="33"/>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row>
    <row r="102" spans="1:114" s="46" customFormat="1" ht="27.75" customHeight="1">
      <c r="A102" s="301"/>
      <c r="B102" s="279"/>
      <c r="C102" s="130"/>
      <c r="D102" s="122"/>
      <c r="E102" s="105"/>
      <c r="F102" s="123"/>
      <c r="G102" s="119"/>
      <c r="H102" s="8"/>
      <c r="I102" s="33"/>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row>
    <row r="103" spans="1:114" s="46" customFormat="1" ht="21.75" customHeight="1">
      <c r="A103" s="301"/>
      <c r="B103" s="279"/>
      <c r="C103" s="136"/>
      <c r="D103" s="109"/>
      <c r="E103" s="117"/>
      <c r="F103" s="123"/>
      <c r="G103" s="119"/>
      <c r="H103" s="8"/>
      <c r="I103" s="33"/>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row>
    <row r="104" spans="1:114" s="46" customFormat="1" ht="41.25" customHeight="1">
      <c r="A104" s="301"/>
      <c r="B104" s="279"/>
      <c r="C104" s="136"/>
      <c r="D104" s="109"/>
      <c r="E104" s="74"/>
      <c r="F104" s="123"/>
      <c r="G104" s="119"/>
      <c r="H104" s="8"/>
      <c r="I104" s="33"/>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row>
    <row r="105" spans="1:9" ht="28.5" customHeight="1">
      <c r="A105" s="301"/>
      <c r="B105" s="279"/>
      <c r="C105" s="17"/>
      <c r="D105" s="109"/>
      <c r="E105" s="122"/>
      <c r="F105" s="281"/>
      <c r="G105" s="268"/>
      <c r="H105" s="5"/>
      <c r="I105" s="14"/>
    </row>
    <row r="106" spans="1:9" ht="23.25" customHeight="1">
      <c r="A106" s="301"/>
      <c r="B106" s="279"/>
      <c r="C106" s="17"/>
      <c r="D106" s="109"/>
      <c r="E106" s="109"/>
      <c r="F106" s="282"/>
      <c r="G106" s="271"/>
      <c r="H106" s="5"/>
      <c r="I106" s="14"/>
    </row>
    <row r="107" spans="1:9" ht="25.5" customHeight="1" hidden="1">
      <c r="A107" s="301"/>
      <c r="B107" s="279"/>
      <c r="C107" s="17"/>
      <c r="D107" s="28"/>
      <c r="E107" s="1"/>
      <c r="F107" s="282"/>
      <c r="G107" s="271"/>
      <c r="H107" s="5"/>
      <c r="I107" s="14"/>
    </row>
    <row r="108" spans="1:9" ht="24" customHeight="1">
      <c r="A108" s="301"/>
      <c r="B108" s="279"/>
      <c r="C108" s="17"/>
      <c r="D108" s="109"/>
      <c r="E108" s="106"/>
      <c r="F108" s="282"/>
      <c r="G108" s="271"/>
      <c r="H108" s="5"/>
      <c r="I108" s="14"/>
    </row>
    <row r="109" spans="1:9" ht="30.75" customHeight="1">
      <c r="A109" s="302"/>
      <c r="B109" s="280"/>
      <c r="C109" s="17"/>
      <c r="D109" s="109"/>
      <c r="E109" s="100"/>
      <c r="F109" s="283"/>
      <c r="G109" s="269"/>
      <c r="H109" s="5"/>
      <c r="I109" s="14"/>
    </row>
    <row r="110" spans="1:114" s="46" customFormat="1" ht="22.5" customHeight="1">
      <c r="A110" s="31" t="s">
        <v>15</v>
      </c>
      <c r="B110" s="52">
        <f>SUM(B99:B99)</f>
        <v>0</v>
      </c>
      <c r="C110" s="17"/>
      <c r="D110" s="22">
        <f>SUM(D99:D109)</f>
        <v>3260.09</v>
      </c>
      <c r="E110" s="23"/>
      <c r="F110" s="10">
        <f>F105</f>
        <v>0</v>
      </c>
      <c r="G110" s="41"/>
      <c r="H110" s="50">
        <f>H105</f>
        <v>0</v>
      </c>
      <c r="I110" s="33"/>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row>
    <row r="111" spans="1:114" s="46" customFormat="1" ht="174.75" customHeight="1" hidden="1">
      <c r="A111" s="31" t="s">
        <v>15</v>
      </c>
      <c r="B111" s="39">
        <f>SUM(B99:B110)</f>
        <v>0</v>
      </c>
      <c r="C111" s="2"/>
      <c r="D111" s="23"/>
      <c r="E111" s="22"/>
      <c r="F111" s="9"/>
      <c r="G111" s="41"/>
      <c r="H111" s="8"/>
      <c r="I111" s="8"/>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row>
    <row r="112" spans="1:114" s="46" customFormat="1" ht="16.5" customHeight="1" hidden="1">
      <c r="A112" s="61" t="s">
        <v>27</v>
      </c>
      <c r="B112" s="62">
        <v>10999</v>
      </c>
      <c r="C112" s="17" t="s">
        <v>35</v>
      </c>
      <c r="D112" s="23"/>
      <c r="E112" s="22"/>
      <c r="F112" s="9"/>
      <c r="G112" s="41"/>
      <c r="H112" s="8"/>
      <c r="I112" s="8"/>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row>
    <row r="113" spans="1:9" ht="17.25" customHeight="1" hidden="1">
      <c r="A113" s="61" t="s">
        <v>27</v>
      </c>
      <c r="B113" s="62">
        <v>1219</v>
      </c>
      <c r="C113" s="17" t="s">
        <v>29</v>
      </c>
      <c r="D113" s="60"/>
      <c r="E113" s="22"/>
      <c r="F113" s="12"/>
      <c r="G113" s="32"/>
      <c r="H113" s="57"/>
      <c r="I113" s="14"/>
    </row>
    <row r="114" spans="1:114" s="46" customFormat="1" ht="16.5" customHeight="1" hidden="1">
      <c r="A114" s="31" t="s">
        <v>15</v>
      </c>
      <c r="B114" s="39">
        <f>SUM(B112:B113)</f>
        <v>12218</v>
      </c>
      <c r="C114" s="2"/>
      <c r="D114" s="23"/>
      <c r="E114" s="22"/>
      <c r="F114" s="9"/>
      <c r="G114" s="41"/>
      <c r="H114" s="8"/>
      <c r="I114" s="8"/>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row>
    <row r="115" spans="1:114" s="46" customFormat="1" ht="16.5" customHeight="1" hidden="1">
      <c r="A115" s="61" t="s">
        <v>22</v>
      </c>
      <c r="B115" s="59">
        <v>3133</v>
      </c>
      <c r="C115" s="17" t="s">
        <v>30</v>
      </c>
      <c r="D115" s="60"/>
      <c r="E115" s="22"/>
      <c r="F115" s="9"/>
      <c r="G115" s="41"/>
      <c r="H115" s="8"/>
      <c r="I115" s="8"/>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row>
    <row r="116" spans="1:114" s="46" customFormat="1" ht="18.75" customHeight="1" hidden="1">
      <c r="A116" s="61" t="s">
        <v>22</v>
      </c>
      <c r="B116" s="59">
        <v>120</v>
      </c>
      <c r="C116" s="17" t="s">
        <v>26</v>
      </c>
      <c r="D116" s="60"/>
      <c r="E116" s="22"/>
      <c r="F116" s="9"/>
      <c r="G116" s="41"/>
      <c r="H116" s="8"/>
      <c r="I116" s="8"/>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row>
    <row r="117" spans="1:114" s="46" customFormat="1" ht="18.75" customHeight="1" hidden="1">
      <c r="A117" s="61" t="s">
        <v>22</v>
      </c>
      <c r="B117" s="59">
        <v>210</v>
      </c>
      <c r="C117" s="17" t="s">
        <v>26</v>
      </c>
      <c r="D117" s="60"/>
      <c r="E117" s="22"/>
      <c r="F117" s="9"/>
      <c r="G117" s="41"/>
      <c r="H117" s="8"/>
      <c r="I117" s="8"/>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row>
    <row r="118" spans="1:114" s="46" customFormat="1" ht="16.5" customHeight="1" hidden="1">
      <c r="A118" s="31" t="s">
        <v>15</v>
      </c>
      <c r="B118" s="22">
        <f>SUM(B115:B117)</f>
        <v>3463</v>
      </c>
      <c r="C118" s="2"/>
      <c r="D118" s="23"/>
      <c r="E118" s="22"/>
      <c r="F118" s="9"/>
      <c r="G118" s="41"/>
      <c r="H118" s="8"/>
      <c r="I118" s="8"/>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row>
    <row r="119" spans="1:114" s="46" customFormat="1" ht="17.25" customHeight="1" hidden="1">
      <c r="A119" s="61" t="s">
        <v>23</v>
      </c>
      <c r="B119" s="63">
        <v>60</v>
      </c>
      <c r="C119" s="17" t="s">
        <v>33</v>
      </c>
      <c r="D119" s="63">
        <v>149639.87</v>
      </c>
      <c r="E119" s="85" t="s">
        <v>32</v>
      </c>
      <c r="F119" s="6"/>
      <c r="G119" s="41"/>
      <c r="H119" s="61"/>
      <c r="I119" s="8"/>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row>
    <row r="120" spans="1:114" s="46" customFormat="1" ht="17.25" customHeight="1" hidden="1">
      <c r="A120" s="61" t="s">
        <v>23</v>
      </c>
      <c r="B120" s="63">
        <v>3951.33</v>
      </c>
      <c r="C120" s="17" t="s">
        <v>34</v>
      </c>
      <c r="D120" s="63"/>
      <c r="E120" s="85"/>
      <c r="F120" s="6"/>
      <c r="G120" s="41"/>
      <c r="H120" s="61"/>
      <c r="I120" s="8"/>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row>
    <row r="121" spans="1:114" s="46" customFormat="1" ht="35.25" customHeight="1">
      <c r="A121" s="300" t="s">
        <v>27</v>
      </c>
      <c r="B121" s="278"/>
      <c r="C121" s="127" t="s">
        <v>81</v>
      </c>
      <c r="D121" s="144">
        <v>673.92</v>
      </c>
      <c r="E121" s="105" t="s">
        <v>91</v>
      </c>
      <c r="F121" s="115"/>
      <c r="G121" s="119"/>
      <c r="H121" s="61"/>
      <c r="I121" s="8"/>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row>
    <row r="122" spans="1:114" s="46" customFormat="1" ht="24" customHeight="1">
      <c r="A122" s="301"/>
      <c r="B122" s="279"/>
      <c r="C122" s="128" t="s">
        <v>81</v>
      </c>
      <c r="D122" s="109">
        <v>1280.45</v>
      </c>
      <c r="E122" s="59" t="s">
        <v>92</v>
      </c>
      <c r="F122" s="115"/>
      <c r="G122" s="119"/>
      <c r="H122" s="61"/>
      <c r="I122" s="8"/>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row>
    <row r="123" spans="1:114" s="46" customFormat="1" ht="44.25" customHeight="1">
      <c r="A123" s="301"/>
      <c r="B123" s="279"/>
      <c r="C123" s="128"/>
      <c r="D123" s="109"/>
      <c r="E123" s="122"/>
      <c r="F123" s="115"/>
      <c r="G123" s="119"/>
      <c r="H123" s="61"/>
      <c r="I123" s="8"/>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row>
    <row r="124" spans="1:114" s="46" customFormat="1" ht="36" customHeight="1">
      <c r="A124" s="301"/>
      <c r="B124" s="279"/>
      <c r="C124" s="136"/>
      <c r="D124" s="109"/>
      <c r="E124" s="106"/>
      <c r="F124" s="115"/>
      <c r="G124" s="119"/>
      <c r="H124" s="61"/>
      <c r="I124" s="8"/>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row>
    <row r="125" spans="1:114" s="46" customFormat="1" ht="33" customHeight="1">
      <c r="A125" s="301"/>
      <c r="B125" s="279"/>
      <c r="C125" s="136"/>
      <c r="D125" s="109"/>
      <c r="E125" s="106"/>
      <c r="F125" s="115"/>
      <c r="G125" s="119"/>
      <c r="H125" s="61"/>
      <c r="I125" s="8"/>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row>
    <row r="126" spans="1:9" ht="24" customHeight="1">
      <c r="A126" s="301"/>
      <c r="B126" s="279"/>
      <c r="C126" s="127"/>
      <c r="D126" s="109"/>
      <c r="E126" s="122"/>
      <c r="F126" s="281"/>
      <c r="G126" s="268"/>
      <c r="H126" s="57"/>
      <c r="I126" s="14"/>
    </row>
    <row r="127" spans="1:9" ht="20.25" customHeight="1">
      <c r="A127" s="301"/>
      <c r="B127" s="279"/>
      <c r="C127" s="127"/>
      <c r="D127" s="109"/>
      <c r="E127" s="109"/>
      <c r="F127" s="282"/>
      <c r="G127" s="271"/>
      <c r="H127" s="57"/>
      <c r="I127" s="104"/>
    </row>
    <row r="128" spans="1:9" ht="20.25" customHeight="1">
      <c r="A128" s="301"/>
      <c r="B128" s="279"/>
      <c r="C128" s="127"/>
      <c r="D128" s="109"/>
      <c r="E128" s="106"/>
      <c r="F128" s="282"/>
      <c r="G128" s="271"/>
      <c r="H128" s="57"/>
      <c r="I128" s="104"/>
    </row>
    <row r="129" spans="1:9" ht="21" customHeight="1">
      <c r="A129" s="301"/>
      <c r="B129" s="279"/>
      <c r="C129" s="127"/>
      <c r="D129" s="109"/>
      <c r="E129" s="106"/>
      <c r="F129" s="282"/>
      <c r="G129" s="271"/>
      <c r="H129" s="57"/>
      <c r="I129" s="104"/>
    </row>
    <row r="130" spans="1:9" ht="29.25" customHeight="1">
      <c r="A130" s="302"/>
      <c r="B130" s="280"/>
      <c r="C130" s="127"/>
      <c r="D130" s="109"/>
      <c r="E130" s="100"/>
      <c r="F130" s="283"/>
      <c r="G130" s="269"/>
      <c r="H130" s="12"/>
      <c r="I130" s="15"/>
    </row>
    <row r="131" spans="1:114" s="46" customFormat="1" ht="25.5" customHeight="1">
      <c r="A131" s="31" t="s">
        <v>15</v>
      </c>
      <c r="B131" s="52">
        <f>SUM(B121:B121)</f>
        <v>0</v>
      </c>
      <c r="C131" s="130"/>
      <c r="D131" s="22">
        <f>SUM(D121:D130)</f>
        <v>1954.37</v>
      </c>
      <c r="E131" s="23"/>
      <c r="F131" s="10">
        <f>F126</f>
        <v>0</v>
      </c>
      <c r="G131" s="41"/>
      <c r="H131" s="8">
        <f>SUM(H126:H130)</f>
        <v>0</v>
      </c>
      <c r="I131" s="33"/>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row>
    <row r="132" spans="1:114" s="46" customFormat="1" ht="27" customHeight="1">
      <c r="A132" s="300" t="s">
        <v>74</v>
      </c>
      <c r="B132" s="278"/>
      <c r="C132" s="129"/>
      <c r="D132" s="131"/>
      <c r="E132" s="132"/>
      <c r="F132" s="281"/>
      <c r="G132" s="268"/>
      <c r="H132" s="57"/>
      <c r="I132" s="14"/>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row>
    <row r="133" spans="1:9" ht="16.5" customHeight="1">
      <c r="A133" s="302"/>
      <c r="B133" s="280"/>
      <c r="C133" s="17"/>
      <c r="D133" s="60"/>
      <c r="E133" s="122"/>
      <c r="F133" s="283"/>
      <c r="G133" s="269"/>
      <c r="H133" s="60"/>
      <c r="I133" s="94"/>
    </row>
    <row r="134" spans="1:114" s="46" customFormat="1" ht="25.5" customHeight="1">
      <c r="A134" s="31" t="s">
        <v>15</v>
      </c>
      <c r="B134" s="39">
        <f>SUM(B132:B132)</f>
        <v>0</v>
      </c>
      <c r="C134" s="3"/>
      <c r="D134" s="22">
        <f>SUM(D132:D133)</f>
        <v>0</v>
      </c>
      <c r="E134" s="23"/>
      <c r="F134" s="10">
        <f>F132</f>
        <v>0</v>
      </c>
      <c r="G134" s="41"/>
      <c r="H134" s="8">
        <f>SUM(H132:H133)</f>
        <v>0</v>
      </c>
      <c r="I134" s="33"/>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row>
    <row r="135" spans="1:114" s="46" customFormat="1" ht="24.75" customHeight="1">
      <c r="A135" s="300" t="s">
        <v>75</v>
      </c>
      <c r="B135" s="278"/>
      <c r="C135" s="127" t="s">
        <v>81</v>
      </c>
      <c r="D135" s="144">
        <v>1305.72</v>
      </c>
      <c r="E135" s="105" t="s">
        <v>91</v>
      </c>
      <c r="F135" s="281"/>
      <c r="G135" s="268"/>
      <c r="H135" s="57"/>
      <c r="I135" s="14"/>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row>
    <row r="136" spans="1:114" s="46" customFormat="1" ht="26.25" customHeight="1">
      <c r="A136" s="301"/>
      <c r="B136" s="279"/>
      <c r="C136" s="128" t="s">
        <v>81</v>
      </c>
      <c r="D136" s="109">
        <v>1280.45</v>
      </c>
      <c r="E136" s="59" t="s">
        <v>92</v>
      </c>
      <c r="F136" s="282"/>
      <c r="G136" s="271"/>
      <c r="H136" s="57"/>
      <c r="I136" s="14"/>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row>
    <row r="137" spans="1:114" s="46" customFormat="1" ht="21.75" customHeight="1">
      <c r="A137" s="301"/>
      <c r="B137" s="279"/>
      <c r="C137" s="137"/>
      <c r="D137" s="109"/>
      <c r="E137" s="138"/>
      <c r="F137" s="282"/>
      <c r="G137" s="271"/>
      <c r="H137" s="57"/>
      <c r="I137" s="14"/>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row>
    <row r="138" spans="1:114" s="46" customFormat="1" ht="33.75" customHeight="1">
      <c r="A138" s="301"/>
      <c r="B138" s="279"/>
      <c r="C138" s="137"/>
      <c r="D138" s="109"/>
      <c r="E138" s="138"/>
      <c r="F138" s="282"/>
      <c r="G138" s="271"/>
      <c r="H138" s="57"/>
      <c r="I138" s="14"/>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row>
    <row r="139" spans="1:114" s="46" customFormat="1" ht="21.75" customHeight="1">
      <c r="A139" s="301"/>
      <c r="B139" s="279"/>
      <c r="C139" s="127"/>
      <c r="D139" s="122"/>
      <c r="E139" s="105"/>
      <c r="F139" s="282"/>
      <c r="G139" s="271"/>
      <c r="H139" s="57"/>
      <c r="I139" s="14"/>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row>
    <row r="140" spans="1:9" ht="25.5" customHeight="1">
      <c r="A140" s="302"/>
      <c r="B140" s="280"/>
      <c r="C140" s="116"/>
      <c r="D140" s="122"/>
      <c r="E140" s="105"/>
      <c r="F140" s="283"/>
      <c r="G140" s="269"/>
      <c r="H140" s="57"/>
      <c r="I140" s="14"/>
    </row>
    <row r="141" spans="1:114" s="46" customFormat="1" ht="21" customHeight="1">
      <c r="A141" s="31" t="s">
        <v>15</v>
      </c>
      <c r="B141" s="39">
        <f>SUM(B135:B140)</f>
        <v>0</v>
      </c>
      <c r="C141" s="3"/>
      <c r="D141" s="22">
        <f>SUM(D135:D140)</f>
        <v>2586.17</v>
      </c>
      <c r="E141" s="23"/>
      <c r="F141" s="10">
        <f>F135</f>
        <v>0</v>
      </c>
      <c r="G141" s="41"/>
      <c r="H141" s="8">
        <f>SUM(H135:H140)</f>
        <v>0</v>
      </c>
      <c r="I141" s="33"/>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row>
    <row r="142" spans="1:114" s="46" customFormat="1" ht="0.75" customHeight="1" hidden="1">
      <c r="A142" s="300" t="s">
        <v>76</v>
      </c>
      <c r="B142" s="278">
        <v>791.2</v>
      </c>
      <c r="C142" s="17"/>
      <c r="D142" s="59"/>
      <c r="E142" s="86"/>
      <c r="F142" s="281"/>
      <c r="G142" s="268"/>
      <c r="H142" s="8"/>
      <c r="I142" s="33"/>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row>
    <row r="143" spans="1:114" s="46" customFormat="1" ht="69.75" customHeight="1">
      <c r="A143" s="301"/>
      <c r="B143" s="279"/>
      <c r="C143" s="121" t="s">
        <v>88</v>
      </c>
      <c r="D143" s="122">
        <f>33517.38+22321.38</f>
        <v>55838.759999999995</v>
      </c>
      <c r="E143" s="105" t="s">
        <v>87</v>
      </c>
      <c r="F143" s="282"/>
      <c r="G143" s="271"/>
      <c r="H143" s="8"/>
      <c r="I143" s="120"/>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row>
    <row r="144" spans="1:114" s="46" customFormat="1" ht="27.75" customHeight="1">
      <c r="A144" s="301"/>
      <c r="B144" s="279"/>
      <c r="C144" s="128" t="s">
        <v>29</v>
      </c>
      <c r="D144" s="109"/>
      <c r="E144" s="122"/>
      <c r="F144" s="282"/>
      <c r="G144" s="271"/>
      <c r="H144" s="8"/>
      <c r="I144" s="120"/>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row>
    <row r="145" spans="1:114" s="46" customFormat="1" ht="35.25" customHeight="1">
      <c r="A145" s="301"/>
      <c r="B145" s="279"/>
      <c r="C145" s="136"/>
      <c r="D145" s="109"/>
      <c r="E145" s="106"/>
      <c r="F145" s="282"/>
      <c r="G145" s="271"/>
      <c r="H145" s="8"/>
      <c r="I145" s="120"/>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row>
    <row r="146" spans="1:114" s="46" customFormat="1" ht="30" customHeight="1">
      <c r="A146" s="301"/>
      <c r="B146" s="279"/>
      <c r="C146" s="127"/>
      <c r="D146" s="122"/>
      <c r="E146" s="105"/>
      <c r="F146" s="282"/>
      <c r="G146" s="271"/>
      <c r="H146" s="8"/>
      <c r="I146" s="120"/>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row>
    <row r="147" spans="1:114" s="46" customFormat="1" ht="31.5" customHeight="1">
      <c r="A147" s="301"/>
      <c r="B147" s="279"/>
      <c r="C147" s="136"/>
      <c r="D147" s="109"/>
      <c r="E147" s="106"/>
      <c r="F147" s="282"/>
      <c r="G147" s="271"/>
      <c r="H147" s="8"/>
      <c r="I147" s="120"/>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row>
    <row r="148" spans="1:114" s="46" customFormat="1" ht="33" customHeight="1">
      <c r="A148" s="301"/>
      <c r="B148" s="279"/>
      <c r="C148" s="18"/>
      <c r="D148" s="109"/>
      <c r="E148" s="100"/>
      <c r="F148" s="282"/>
      <c r="G148" s="271"/>
      <c r="H148" s="6"/>
      <c r="I148" s="1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row>
    <row r="149" spans="1:114" s="46" customFormat="1" ht="20.25" customHeight="1">
      <c r="A149" s="301"/>
      <c r="B149" s="279"/>
      <c r="C149" s="18"/>
      <c r="D149" s="109"/>
      <c r="E149" s="105"/>
      <c r="F149" s="282"/>
      <c r="G149" s="271"/>
      <c r="H149" s="6"/>
      <c r="I149" s="1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row>
    <row r="150" spans="1:114" s="46" customFormat="1" ht="21" customHeight="1">
      <c r="A150" s="301"/>
      <c r="B150" s="279"/>
      <c r="C150" s="18"/>
      <c r="D150" s="109"/>
      <c r="E150" s="106"/>
      <c r="F150" s="282"/>
      <c r="G150" s="271"/>
      <c r="H150" s="6"/>
      <c r="I150" s="1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row>
    <row r="151" spans="1:114" s="46" customFormat="1" ht="26.25" customHeight="1">
      <c r="A151" s="301"/>
      <c r="B151" s="279"/>
      <c r="C151" s="18"/>
      <c r="D151" s="109"/>
      <c r="E151" s="106"/>
      <c r="F151" s="282"/>
      <c r="G151" s="271"/>
      <c r="H151" s="6"/>
      <c r="I151" s="1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row>
    <row r="152" spans="1:9" ht="27.75" customHeight="1">
      <c r="A152" s="301"/>
      <c r="B152" s="279"/>
      <c r="C152" s="18"/>
      <c r="D152" s="122"/>
      <c r="E152" s="59"/>
      <c r="F152" s="283"/>
      <c r="G152" s="269"/>
      <c r="H152" s="6"/>
      <c r="I152" s="15"/>
    </row>
    <row r="153" spans="1:9" ht="29.25" customHeight="1">
      <c r="A153" s="302"/>
      <c r="B153" s="280"/>
      <c r="C153" s="124"/>
      <c r="D153" s="122"/>
      <c r="E153" s="122"/>
      <c r="F153" s="111"/>
      <c r="G153" s="110"/>
      <c r="H153" s="6"/>
      <c r="I153" s="15"/>
    </row>
    <row r="154" spans="1:114" s="46" customFormat="1" ht="24" customHeight="1">
      <c r="A154" s="31" t="s">
        <v>15</v>
      </c>
      <c r="B154" s="52">
        <f>SUM(B142:B142)</f>
        <v>791.2</v>
      </c>
      <c r="C154" s="17"/>
      <c r="D154" s="22">
        <f>SUM(D143:D153)</f>
        <v>55838.759999999995</v>
      </c>
      <c r="E154" s="60"/>
      <c r="F154" s="10">
        <f>F142</f>
        <v>0</v>
      </c>
      <c r="G154" s="41"/>
      <c r="H154" s="50">
        <f>SUM(H142:H152)</f>
        <v>0</v>
      </c>
      <c r="I154" s="33"/>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row>
    <row r="155" spans="1:114" s="46" customFormat="1" ht="37.5" customHeight="1">
      <c r="A155" s="306" t="s">
        <v>37</v>
      </c>
      <c r="B155" s="278"/>
      <c r="C155" s="127" t="s">
        <v>81</v>
      </c>
      <c r="D155" s="144">
        <v>1305.72</v>
      </c>
      <c r="E155" s="105" t="s">
        <v>91</v>
      </c>
      <c r="F155" s="266"/>
      <c r="G155" s="268"/>
      <c r="H155" s="57"/>
      <c r="I155" s="14"/>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row>
    <row r="156" spans="1:114" s="46" customFormat="1" ht="27" customHeight="1">
      <c r="A156" s="306"/>
      <c r="B156" s="279"/>
      <c r="C156" s="128" t="s">
        <v>81</v>
      </c>
      <c r="D156" s="109">
        <v>1280.45</v>
      </c>
      <c r="E156" s="59" t="s">
        <v>92</v>
      </c>
      <c r="F156" s="270"/>
      <c r="G156" s="271"/>
      <c r="H156" s="57"/>
      <c r="I156" s="14"/>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row>
    <row r="157" spans="1:114" s="46" customFormat="1" ht="27" customHeight="1">
      <c r="A157" s="306"/>
      <c r="B157" s="279"/>
      <c r="C157" s="129"/>
      <c r="D157" s="122"/>
      <c r="E157" s="60"/>
      <c r="F157" s="270"/>
      <c r="G157" s="271"/>
      <c r="H157" s="57"/>
      <c r="I157" s="14"/>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row>
    <row r="158" spans="1:114" s="46" customFormat="1" ht="27" customHeight="1">
      <c r="A158" s="306"/>
      <c r="B158" s="279"/>
      <c r="C158" s="127"/>
      <c r="D158" s="122"/>
      <c r="E158" s="105"/>
      <c r="F158" s="270"/>
      <c r="G158" s="271"/>
      <c r="H158" s="57"/>
      <c r="I158" s="14"/>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row>
    <row r="159" spans="1:114" s="46" customFormat="1" ht="27" customHeight="1">
      <c r="A159" s="306"/>
      <c r="B159" s="280"/>
      <c r="C159" s="128"/>
      <c r="D159" s="109"/>
      <c r="E159" s="122"/>
      <c r="F159" s="267"/>
      <c r="G159" s="269"/>
      <c r="H159" s="61"/>
      <c r="I159" s="8"/>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row>
    <row r="160" spans="1:114" s="46" customFormat="1" ht="19.5" customHeight="1">
      <c r="A160" s="31" t="s">
        <v>15</v>
      </c>
      <c r="B160" s="64">
        <f>B155</f>
        <v>0</v>
      </c>
      <c r="C160" s="2"/>
      <c r="D160" s="64">
        <f>SUM(D155:D159)</f>
        <v>2586.17</v>
      </c>
      <c r="E160" s="22"/>
      <c r="F160" s="9">
        <f>F155</f>
        <v>0</v>
      </c>
      <c r="G160" s="41"/>
      <c r="H160" s="8">
        <f>SUM(H155:H159)</f>
        <v>0</v>
      </c>
      <c r="I160" s="8"/>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row>
    <row r="161" spans="1:114" s="46" customFormat="1" ht="21.75" customHeight="1">
      <c r="A161" s="300" t="s">
        <v>53</v>
      </c>
      <c r="B161" s="261"/>
      <c r="C161" s="127"/>
      <c r="D161" s="134"/>
      <c r="E161" s="109"/>
      <c r="F161" s="266"/>
      <c r="G161" s="268"/>
      <c r="H161" s="8"/>
      <c r="I161" s="8"/>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row>
    <row r="162" spans="1:114" s="46" customFormat="1" ht="21.75" customHeight="1">
      <c r="A162" s="301"/>
      <c r="B162" s="262"/>
      <c r="C162" s="130"/>
      <c r="D162" s="134"/>
      <c r="E162" s="122"/>
      <c r="F162" s="270"/>
      <c r="G162" s="271"/>
      <c r="H162" s="8"/>
      <c r="I162" s="8"/>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row>
    <row r="163" spans="1:114" s="46" customFormat="1" ht="19.5" customHeight="1">
      <c r="A163" s="301"/>
      <c r="B163" s="262"/>
      <c r="C163" s="130"/>
      <c r="D163" s="122"/>
      <c r="E163" s="106"/>
      <c r="F163" s="267"/>
      <c r="G163" s="269"/>
      <c r="H163" s="61"/>
      <c r="I163" s="8"/>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row>
    <row r="164" spans="1:114" s="46" customFormat="1" ht="21" customHeight="1">
      <c r="A164" s="31" t="s">
        <v>15</v>
      </c>
      <c r="B164" s="64">
        <f>SUM(B161)</f>
        <v>0</v>
      </c>
      <c r="C164" s="2"/>
      <c r="D164" s="64">
        <f>SUM(D161:D163)</f>
        <v>0</v>
      </c>
      <c r="E164" s="22"/>
      <c r="F164" s="9">
        <f>F161</f>
        <v>0</v>
      </c>
      <c r="G164" s="41"/>
      <c r="H164" s="8">
        <f>SUM(H161:H163)</f>
        <v>0</v>
      </c>
      <c r="I164" s="8"/>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row>
    <row r="165" spans="1:114" s="46" customFormat="1" ht="21" customHeight="1">
      <c r="A165" s="300" t="s">
        <v>77</v>
      </c>
      <c r="B165" s="261"/>
      <c r="C165" s="19"/>
      <c r="D165" s="134"/>
      <c r="E165" s="122"/>
      <c r="F165" s="126"/>
      <c r="G165" s="119"/>
      <c r="H165" s="8"/>
      <c r="I165" s="8"/>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row>
    <row r="166" spans="1:114" s="46" customFormat="1" ht="24.75" customHeight="1">
      <c r="A166" s="301"/>
      <c r="B166" s="262"/>
      <c r="C166" s="147"/>
      <c r="D166" s="122"/>
      <c r="E166" s="135"/>
      <c r="F166" s="266"/>
      <c r="G166" s="268"/>
      <c r="H166" s="59"/>
      <c r="I166" s="94"/>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row>
    <row r="167" spans="1:114" s="46" customFormat="1" ht="20.25" customHeight="1">
      <c r="A167" s="301"/>
      <c r="B167" s="262"/>
      <c r="C167" s="147"/>
      <c r="D167" s="122"/>
      <c r="E167" s="106"/>
      <c r="F167" s="270"/>
      <c r="G167" s="271"/>
      <c r="H167" s="59"/>
      <c r="I167" s="94"/>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row>
    <row r="168" spans="1:114" s="46" customFormat="1" ht="20.25" customHeight="1">
      <c r="A168" s="302"/>
      <c r="B168" s="265"/>
      <c r="C168" s="147"/>
      <c r="D168" s="131"/>
      <c r="E168" s="109"/>
      <c r="F168" s="267"/>
      <c r="G168" s="269"/>
      <c r="H168" s="8"/>
      <c r="I168" s="8"/>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row>
    <row r="169" spans="1:114" s="46" customFormat="1" ht="19.5" customHeight="1">
      <c r="A169" s="31" t="s">
        <v>15</v>
      </c>
      <c r="B169" s="22">
        <f>SUM(B165)</f>
        <v>0</v>
      </c>
      <c r="C169" s="2"/>
      <c r="D169" s="23">
        <f>SUM(D165:D168)</f>
        <v>0</v>
      </c>
      <c r="E169" s="103"/>
      <c r="F169" s="9">
        <f>F166</f>
        <v>0</v>
      </c>
      <c r="G169" s="41"/>
      <c r="H169" s="8">
        <f>SUM(H166:H168)</f>
        <v>0</v>
      </c>
      <c r="I169" s="8"/>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row>
    <row r="170" spans="1:114" s="46" customFormat="1" ht="21" customHeight="1">
      <c r="A170" s="300" t="s">
        <v>38</v>
      </c>
      <c r="B170" s="261"/>
      <c r="C170" s="20"/>
      <c r="D170" s="59"/>
      <c r="E170" s="87"/>
      <c r="F170" s="266"/>
      <c r="G170" s="268"/>
      <c r="H170" s="57"/>
      <c r="I170" s="14"/>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row>
    <row r="171" spans="1:114" s="46" customFormat="1" ht="29.25" customHeight="1">
      <c r="A171" s="302"/>
      <c r="B171" s="265"/>
      <c r="C171" s="17"/>
      <c r="D171" s="83"/>
      <c r="E171" s="122"/>
      <c r="F171" s="267"/>
      <c r="G171" s="269"/>
      <c r="H171" s="8"/>
      <c r="I171" s="8"/>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row>
    <row r="172" spans="1:114" s="46" customFormat="1" ht="19.5" customHeight="1">
      <c r="A172" s="31" t="s">
        <v>15</v>
      </c>
      <c r="B172" s="22">
        <f>B170</f>
        <v>0</v>
      </c>
      <c r="C172" s="2"/>
      <c r="D172" s="23">
        <f>D170+D171</f>
        <v>0</v>
      </c>
      <c r="E172" s="59"/>
      <c r="F172" s="9">
        <f>F170</f>
        <v>0</v>
      </c>
      <c r="G172" s="41"/>
      <c r="H172" s="8">
        <f>SUM(H170:H171)</f>
        <v>0</v>
      </c>
      <c r="I172" s="8"/>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row>
    <row r="173" spans="1:114" s="46" customFormat="1" ht="30.75" customHeight="1">
      <c r="A173" s="300" t="s">
        <v>56</v>
      </c>
      <c r="B173" s="261"/>
      <c r="C173" s="21"/>
      <c r="D173" s="60"/>
      <c r="E173" s="78"/>
      <c r="F173" s="266"/>
      <c r="G173" s="274"/>
      <c r="H173" s="57"/>
      <c r="I173" s="14"/>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row>
    <row r="174" spans="1:114" s="46" customFormat="1" ht="33" customHeight="1">
      <c r="A174" s="302"/>
      <c r="B174" s="265"/>
      <c r="C174" s="114"/>
      <c r="D174" s="83"/>
      <c r="E174" s="59"/>
      <c r="F174" s="267"/>
      <c r="G174" s="276"/>
      <c r="H174" s="8"/>
      <c r="I174" s="8"/>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row>
    <row r="175" spans="1:114" s="46" customFormat="1" ht="21.75" customHeight="1">
      <c r="A175" s="31" t="s">
        <v>15</v>
      </c>
      <c r="B175" s="22">
        <f>B173</f>
        <v>0</v>
      </c>
      <c r="C175" s="2"/>
      <c r="D175" s="23">
        <f>D174+D173</f>
        <v>0</v>
      </c>
      <c r="E175" s="59"/>
      <c r="F175" s="9">
        <f>F173</f>
        <v>0</v>
      </c>
      <c r="G175" s="41"/>
      <c r="H175" s="8">
        <f>SUM(H173:H174)</f>
        <v>0</v>
      </c>
      <c r="I175" s="8"/>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row>
    <row r="176" spans="1:114" s="46" customFormat="1" ht="30.75" customHeight="1">
      <c r="A176" s="300" t="s">
        <v>78</v>
      </c>
      <c r="B176" s="261"/>
      <c r="C176" s="127" t="s">
        <v>81</v>
      </c>
      <c r="D176" s="144">
        <v>673.92</v>
      </c>
      <c r="E176" s="105" t="s">
        <v>91</v>
      </c>
      <c r="F176" s="126"/>
      <c r="G176" s="119"/>
      <c r="H176" s="8"/>
      <c r="I176" s="8"/>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row>
    <row r="177" spans="1:114" s="46" customFormat="1" ht="30.75" customHeight="1">
      <c r="A177" s="301"/>
      <c r="B177" s="262"/>
      <c r="C177" s="128" t="s">
        <v>81</v>
      </c>
      <c r="D177" s="109">
        <v>2560.9</v>
      </c>
      <c r="E177" s="59" t="s">
        <v>92</v>
      </c>
      <c r="F177" s="126"/>
      <c r="G177" s="119"/>
      <c r="H177" s="8"/>
      <c r="I177" s="8"/>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row>
    <row r="178" spans="1:114" s="46" customFormat="1" ht="29.25" customHeight="1">
      <c r="A178" s="301"/>
      <c r="B178" s="262"/>
      <c r="C178" s="136" t="s">
        <v>93</v>
      </c>
      <c r="D178" s="133">
        <v>165000</v>
      </c>
      <c r="E178" s="135" t="s">
        <v>86</v>
      </c>
      <c r="F178" s="126"/>
      <c r="G178" s="119"/>
      <c r="H178" s="8"/>
      <c r="I178" s="8"/>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row>
    <row r="179" spans="1:114" s="46" customFormat="1" ht="27.75" customHeight="1">
      <c r="A179" s="301"/>
      <c r="B179" s="262"/>
      <c r="C179" s="21"/>
      <c r="D179" s="83"/>
      <c r="E179" s="16"/>
      <c r="F179" s="266"/>
      <c r="G179" s="268"/>
      <c r="H179" s="59"/>
      <c r="I179" s="94"/>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row>
    <row r="180" spans="1:114" s="46" customFormat="1" ht="22.5" customHeight="1">
      <c r="A180" s="301"/>
      <c r="B180" s="262"/>
      <c r="C180" s="127"/>
      <c r="D180" s="122"/>
      <c r="E180" s="105"/>
      <c r="F180" s="270"/>
      <c r="G180" s="271"/>
      <c r="H180" s="59"/>
      <c r="I180" s="94"/>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row>
    <row r="181" spans="1:114" s="46" customFormat="1" ht="15.75">
      <c r="A181" s="302"/>
      <c r="B181" s="265"/>
      <c r="C181" s="121"/>
      <c r="D181" s="122"/>
      <c r="E181" s="105"/>
      <c r="F181" s="267"/>
      <c r="G181" s="269"/>
      <c r="H181" s="8"/>
      <c r="I181" s="8"/>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row>
    <row r="182" spans="1:114" s="46" customFormat="1" ht="19.5" customHeight="1">
      <c r="A182" s="31" t="s">
        <v>15</v>
      </c>
      <c r="B182" s="22">
        <f>SUM(B176)</f>
        <v>0</v>
      </c>
      <c r="C182" s="2"/>
      <c r="D182" s="23">
        <f>SUM(D176:D181)</f>
        <v>168234.82</v>
      </c>
      <c r="E182" s="59"/>
      <c r="F182" s="9">
        <f>F179</f>
        <v>0</v>
      </c>
      <c r="G182" s="41"/>
      <c r="H182" s="8">
        <f>SUM(H179:H181)</f>
        <v>0</v>
      </c>
      <c r="I182" s="8"/>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row>
    <row r="183" spans="1:114" s="46" customFormat="1" ht="20.25" customHeight="1" hidden="1">
      <c r="A183" s="300" t="s">
        <v>39</v>
      </c>
      <c r="B183" s="261"/>
      <c r="C183" s="272"/>
      <c r="D183" s="83"/>
      <c r="E183" s="16"/>
      <c r="F183" s="266"/>
      <c r="G183" s="268"/>
      <c r="H183" s="57"/>
      <c r="I183" s="14"/>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row>
    <row r="184" spans="1:114" s="46" customFormat="1" ht="0.75" customHeight="1" hidden="1">
      <c r="A184" s="301"/>
      <c r="B184" s="262"/>
      <c r="C184" s="273"/>
      <c r="D184" s="88"/>
      <c r="E184" s="88"/>
      <c r="F184" s="270"/>
      <c r="G184" s="271"/>
      <c r="H184" s="8"/>
      <c r="I184" s="8"/>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row>
    <row r="185" spans="1:114" s="46" customFormat="1" ht="20.25" customHeight="1" hidden="1">
      <c r="A185" s="302"/>
      <c r="B185" s="265"/>
      <c r="C185" s="17"/>
      <c r="D185" s="59"/>
      <c r="E185" s="78"/>
      <c r="F185" s="267"/>
      <c r="G185" s="269"/>
      <c r="H185" s="8"/>
      <c r="I185" s="8"/>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row>
    <row r="186" spans="1:114" s="46" customFormat="1" ht="19.5" customHeight="1" hidden="1">
      <c r="A186" s="31" t="s">
        <v>15</v>
      </c>
      <c r="B186" s="22">
        <f>SUM(B183)</f>
        <v>0</v>
      </c>
      <c r="C186" s="2"/>
      <c r="D186" s="23">
        <f>SUM(D183:D185)</f>
        <v>0</v>
      </c>
      <c r="E186" s="59"/>
      <c r="F186" s="9">
        <f>F183</f>
        <v>0</v>
      </c>
      <c r="G186" s="41"/>
      <c r="H186" s="8">
        <f>SUM(H183:H185)</f>
        <v>0</v>
      </c>
      <c r="I186" s="8"/>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row>
    <row r="187" spans="1:114" s="46" customFormat="1" ht="39.75" customHeight="1">
      <c r="A187" s="300" t="s">
        <v>40</v>
      </c>
      <c r="B187" s="261"/>
      <c r="C187" s="127" t="s">
        <v>81</v>
      </c>
      <c r="D187" s="144">
        <v>673.92</v>
      </c>
      <c r="E187" s="105" t="s">
        <v>91</v>
      </c>
      <c r="F187" s="126"/>
      <c r="G187" s="119"/>
      <c r="H187" s="8"/>
      <c r="I187" s="8"/>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row>
    <row r="188" spans="1:114" s="46" customFormat="1" ht="29.25" customHeight="1">
      <c r="A188" s="301"/>
      <c r="B188" s="262"/>
      <c r="C188" s="128" t="s">
        <v>81</v>
      </c>
      <c r="D188" s="109">
        <v>1920.47</v>
      </c>
      <c r="E188" s="59" t="s">
        <v>92</v>
      </c>
      <c r="F188" s="126"/>
      <c r="G188" s="119"/>
      <c r="H188" s="8"/>
      <c r="I188" s="8"/>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row>
    <row r="189" spans="1:114" s="46" customFormat="1" ht="39.75" customHeight="1">
      <c r="A189" s="301"/>
      <c r="B189" s="262"/>
      <c r="C189" s="136" t="s">
        <v>93</v>
      </c>
      <c r="D189" s="133">
        <v>165000</v>
      </c>
      <c r="E189" s="135" t="s">
        <v>86</v>
      </c>
      <c r="F189" s="266"/>
      <c r="G189" s="268"/>
      <c r="H189" s="57"/>
      <c r="I189" s="14"/>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row>
    <row r="190" spans="1:114" s="46" customFormat="1" ht="22.5" customHeight="1">
      <c r="A190" s="301"/>
      <c r="B190" s="262"/>
      <c r="C190" s="136"/>
      <c r="D190" s="133"/>
      <c r="E190" s="132"/>
      <c r="F190" s="270"/>
      <c r="G190" s="271"/>
      <c r="H190" s="57"/>
      <c r="I190" s="14"/>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row>
    <row r="191" spans="1:114" s="46" customFormat="1" ht="22.5" customHeight="1">
      <c r="A191" s="301"/>
      <c r="B191" s="262"/>
      <c r="C191" s="127"/>
      <c r="D191" s="122"/>
      <c r="E191" s="105"/>
      <c r="F191" s="270"/>
      <c r="G191" s="271"/>
      <c r="H191" s="57"/>
      <c r="I191" s="14"/>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row>
    <row r="192" spans="1:114" s="46" customFormat="1" ht="32.25" customHeight="1">
      <c r="A192" s="301"/>
      <c r="B192" s="262"/>
      <c r="C192" s="129"/>
      <c r="D192" s="131"/>
      <c r="E192" s="132"/>
      <c r="F192" s="270"/>
      <c r="G192" s="271"/>
      <c r="H192" s="57"/>
      <c r="I192" s="14"/>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row>
    <row r="193" spans="1:114" s="46" customFormat="1" ht="37.5" customHeight="1">
      <c r="A193" s="302"/>
      <c r="B193" s="265"/>
      <c r="C193" s="127"/>
      <c r="D193" s="122"/>
      <c r="E193" s="109"/>
      <c r="F193" s="267"/>
      <c r="G193" s="269"/>
      <c r="H193" s="8"/>
      <c r="I193" s="8"/>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row>
    <row r="194" spans="1:114" s="46" customFormat="1" ht="21" customHeight="1">
      <c r="A194" s="31" t="s">
        <v>15</v>
      </c>
      <c r="B194" s="22">
        <f>SUM(B187)</f>
        <v>0</v>
      </c>
      <c r="C194" s="2"/>
      <c r="D194" s="23">
        <f>SUM(D187:D193)</f>
        <v>167594.39</v>
      </c>
      <c r="E194" s="103"/>
      <c r="F194" s="9">
        <f>F189</f>
        <v>0</v>
      </c>
      <c r="G194" s="41"/>
      <c r="H194" s="8">
        <f>SUM(H189:H193)</f>
        <v>0</v>
      </c>
      <c r="I194" s="8"/>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row>
    <row r="195" spans="1:114" s="46" customFormat="1" ht="27.75" customHeight="1">
      <c r="A195" s="300" t="s">
        <v>31</v>
      </c>
      <c r="B195" s="261"/>
      <c r="C195" s="17"/>
      <c r="D195" s="59"/>
      <c r="E195" s="78"/>
      <c r="F195" s="266"/>
      <c r="G195" s="268"/>
      <c r="H195" s="57"/>
      <c r="I195" s="14"/>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row>
    <row r="196" spans="1:114" s="46" customFormat="1" ht="18" customHeight="1">
      <c r="A196" s="302"/>
      <c r="B196" s="265"/>
      <c r="C196" s="97"/>
      <c r="D196" s="59"/>
      <c r="E196" s="122"/>
      <c r="F196" s="267"/>
      <c r="G196" s="269"/>
      <c r="H196" s="8"/>
      <c r="I196" s="8"/>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row>
    <row r="197" spans="1:114" s="46" customFormat="1" ht="18.75" customHeight="1">
      <c r="A197" s="31" t="s">
        <v>15</v>
      </c>
      <c r="B197" s="22">
        <f>B195</f>
        <v>0</v>
      </c>
      <c r="C197" s="2"/>
      <c r="D197" s="23">
        <f>SUM(D195:D196)</f>
        <v>0</v>
      </c>
      <c r="E197" s="22"/>
      <c r="F197" s="9">
        <f>F195</f>
        <v>0</v>
      </c>
      <c r="G197" s="41"/>
      <c r="H197" s="8">
        <f>SUM(H195:H196)</f>
        <v>0</v>
      </c>
      <c r="I197" s="8"/>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row>
    <row r="198" spans="1:114" s="46" customFormat="1" ht="48" customHeight="1">
      <c r="A198" s="300" t="s">
        <v>41</v>
      </c>
      <c r="B198" s="261"/>
      <c r="C198" s="17"/>
      <c r="D198" s="59"/>
      <c r="E198" s="102"/>
      <c r="F198" s="266"/>
      <c r="G198" s="268"/>
      <c r="H198" s="8"/>
      <c r="I198" s="8"/>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row>
    <row r="199" spans="1:114" s="46" customFormat="1" ht="23.25" customHeight="1">
      <c r="A199" s="301"/>
      <c r="B199" s="262"/>
      <c r="C199" s="128"/>
      <c r="D199" s="109"/>
      <c r="E199" s="122"/>
      <c r="F199" s="270"/>
      <c r="G199" s="271"/>
      <c r="H199" s="8"/>
      <c r="I199" s="8"/>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row>
    <row r="200" spans="1:114" s="46" customFormat="1" ht="27" customHeight="1">
      <c r="A200" s="301"/>
      <c r="B200" s="262"/>
      <c r="C200" s="129"/>
      <c r="D200" s="109"/>
      <c r="E200" s="122"/>
      <c r="F200" s="270"/>
      <c r="G200" s="271"/>
      <c r="H200" s="8"/>
      <c r="I200" s="8"/>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row>
    <row r="201" spans="1:114" s="46" customFormat="1" ht="31.5" customHeight="1">
      <c r="A201" s="302"/>
      <c r="B201" s="265"/>
      <c r="C201" s="17"/>
      <c r="D201" s="82"/>
      <c r="E201" s="78"/>
      <c r="F201" s="267"/>
      <c r="G201" s="269"/>
      <c r="H201" s="59"/>
      <c r="I201" s="96"/>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row>
    <row r="202" spans="1:114" s="46" customFormat="1" ht="23.25" customHeight="1">
      <c r="A202" s="31" t="s">
        <v>15</v>
      </c>
      <c r="B202" s="22">
        <f>B198</f>
        <v>0</v>
      </c>
      <c r="C202" s="2"/>
      <c r="D202" s="23">
        <f>SUM(D198:D201)</f>
        <v>0</v>
      </c>
      <c r="E202" s="103"/>
      <c r="F202" s="9">
        <f>F198</f>
        <v>0</v>
      </c>
      <c r="G202" s="41"/>
      <c r="H202" s="8">
        <f>SUM(H198:H201)</f>
        <v>0</v>
      </c>
      <c r="I202" s="8"/>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row>
    <row r="203" spans="1:114" s="46" customFormat="1" ht="38.25" customHeight="1">
      <c r="A203" s="268" t="s">
        <v>79</v>
      </c>
      <c r="B203" s="256"/>
      <c r="C203" s="21" t="s">
        <v>85</v>
      </c>
      <c r="D203" s="60">
        <v>413673.75</v>
      </c>
      <c r="E203" s="125" t="s">
        <v>86</v>
      </c>
      <c r="F203" s="9"/>
      <c r="G203" s="41"/>
      <c r="H203" s="8"/>
      <c r="I203" s="8"/>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row>
    <row r="204" spans="1:114" s="46" customFormat="1" ht="29.25" customHeight="1">
      <c r="A204" s="271"/>
      <c r="B204" s="264"/>
      <c r="C204" s="21"/>
      <c r="D204" s="60"/>
      <c r="E204" s="103"/>
      <c r="F204" s="9"/>
      <c r="G204" s="41"/>
      <c r="H204" s="8"/>
      <c r="I204" s="8"/>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row>
    <row r="205" spans="1:114" s="46" customFormat="1" ht="54" customHeight="1">
      <c r="A205" s="269"/>
      <c r="B205" s="257"/>
      <c r="C205" s="21"/>
      <c r="D205" s="60"/>
      <c r="E205" s="59"/>
      <c r="F205" s="12"/>
      <c r="G205" s="41"/>
      <c r="H205" s="5"/>
      <c r="I205" s="14"/>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row>
    <row r="206" spans="1:114" s="46" customFormat="1" ht="23.25" customHeight="1">
      <c r="A206" s="31" t="s">
        <v>15</v>
      </c>
      <c r="B206" s="22">
        <v>0</v>
      </c>
      <c r="C206" s="2"/>
      <c r="D206" s="23">
        <f>SUM(D203:D205)</f>
        <v>413673.75</v>
      </c>
      <c r="E206" s="22"/>
      <c r="F206" s="9">
        <v>0</v>
      </c>
      <c r="G206" s="41"/>
      <c r="H206" s="50">
        <f>SUM(H205)</f>
        <v>0</v>
      </c>
      <c r="I206" s="8"/>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row>
    <row r="207" spans="1:114" s="46" customFormat="1" ht="31.5" customHeight="1">
      <c r="A207" s="300" t="s">
        <v>47</v>
      </c>
      <c r="B207" s="261"/>
      <c r="C207" s="17"/>
      <c r="D207" s="82"/>
      <c r="E207" s="16"/>
      <c r="F207" s="6"/>
      <c r="G207" s="41"/>
      <c r="H207" s="57"/>
      <c r="I207" s="14"/>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row>
    <row r="208" spans="1:114" s="46" customFormat="1" ht="31.5" customHeight="1">
      <c r="A208" s="301"/>
      <c r="B208" s="262"/>
      <c r="C208" s="17"/>
      <c r="D208" s="82"/>
      <c r="E208" s="122"/>
      <c r="F208" s="6"/>
      <c r="G208" s="41"/>
      <c r="H208" s="57"/>
      <c r="I208" s="14"/>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row>
    <row r="209" spans="1:114" s="46" customFormat="1" ht="35.25" customHeight="1">
      <c r="A209" s="302"/>
      <c r="B209" s="265"/>
      <c r="C209" s="127"/>
      <c r="D209" s="82"/>
      <c r="E209" s="16"/>
      <c r="F209" s="6"/>
      <c r="G209" s="41"/>
      <c r="H209" s="57"/>
      <c r="I209" s="14"/>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row>
    <row r="210" spans="1:114" s="46" customFormat="1" ht="24.75" customHeight="1">
      <c r="A210" s="31" t="s">
        <v>15</v>
      </c>
      <c r="B210" s="22">
        <f>B207</f>
        <v>0</v>
      </c>
      <c r="C210" s="2"/>
      <c r="D210" s="23">
        <f>SUM(D207:D209)</f>
        <v>0</v>
      </c>
      <c r="E210" s="22"/>
      <c r="F210" s="9"/>
      <c r="G210" s="41"/>
      <c r="H210" s="8">
        <f>H207</f>
        <v>0</v>
      </c>
      <c r="I210" s="8"/>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row>
    <row r="211" spans="1:114" s="46" customFormat="1" ht="24.75" customHeight="1">
      <c r="A211" s="300" t="s">
        <v>36</v>
      </c>
      <c r="B211" s="256"/>
      <c r="C211" s="21"/>
      <c r="D211" s="60"/>
      <c r="E211" s="122"/>
      <c r="F211" s="9"/>
      <c r="G211" s="41"/>
      <c r="H211" s="8"/>
      <c r="I211" s="8"/>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row>
    <row r="212" spans="1:114" s="46" customFormat="1" ht="46.5" customHeight="1">
      <c r="A212" s="302"/>
      <c r="B212" s="257"/>
      <c r="C212" s="17"/>
      <c r="D212" s="82"/>
      <c r="E212" s="16"/>
      <c r="F212" s="6"/>
      <c r="G212" s="41"/>
      <c r="H212" s="57"/>
      <c r="I212" s="14"/>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row>
    <row r="213" spans="1:114" s="46" customFormat="1" ht="20.25" customHeight="1">
      <c r="A213" s="31" t="s">
        <v>15</v>
      </c>
      <c r="B213" s="22">
        <f>B212</f>
        <v>0</v>
      </c>
      <c r="C213" s="2"/>
      <c r="D213" s="23">
        <f>SUM(D211:D212)</f>
        <v>0</v>
      </c>
      <c r="E213" s="22"/>
      <c r="F213" s="9"/>
      <c r="G213" s="41"/>
      <c r="H213" s="8">
        <f>H212</f>
        <v>0</v>
      </c>
      <c r="I213" s="8"/>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row>
    <row r="214" spans="1:114" s="46" customFormat="1" ht="20.25" customHeight="1">
      <c r="A214" s="300" t="s">
        <v>43</v>
      </c>
      <c r="B214" s="256"/>
      <c r="C214" s="21"/>
      <c r="D214" s="60"/>
      <c r="E214" s="122"/>
      <c r="F214" s="9"/>
      <c r="G214" s="41"/>
      <c r="H214" s="8"/>
      <c r="I214" s="8"/>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row>
    <row r="215" spans="1:114" s="46" customFormat="1" ht="30.75" customHeight="1">
      <c r="A215" s="302"/>
      <c r="B215" s="257"/>
      <c r="C215" s="17"/>
      <c r="D215" s="83"/>
      <c r="E215" s="16"/>
      <c r="F215" s="6"/>
      <c r="G215" s="41"/>
      <c r="H215" s="57"/>
      <c r="I215" s="14"/>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row>
    <row r="216" spans="1:114" s="46" customFormat="1" ht="23.25" customHeight="1">
      <c r="A216" s="31" t="s">
        <v>15</v>
      </c>
      <c r="B216" s="22">
        <f>B215</f>
        <v>0</v>
      </c>
      <c r="C216" s="2"/>
      <c r="D216" s="23">
        <f>SUM(D214:D215)</f>
        <v>0</v>
      </c>
      <c r="E216" s="22"/>
      <c r="F216" s="9"/>
      <c r="G216" s="41"/>
      <c r="H216" s="8">
        <f>H215</f>
        <v>0</v>
      </c>
      <c r="I216" s="8"/>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row>
    <row r="217" spans="1:114" s="46" customFormat="1" ht="23.25" customHeight="1">
      <c r="A217" s="268" t="s">
        <v>52</v>
      </c>
      <c r="B217" s="256"/>
      <c r="C217" s="21"/>
      <c r="D217" s="60"/>
      <c r="E217" s="122"/>
      <c r="F217" s="9"/>
      <c r="G217" s="41"/>
      <c r="H217" s="8"/>
      <c r="I217" s="8"/>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row>
    <row r="218" spans="1:114" s="46" customFormat="1" ht="36" customHeight="1">
      <c r="A218" s="269"/>
      <c r="B218" s="257"/>
      <c r="C218" s="2"/>
      <c r="D218" s="82"/>
      <c r="E218" s="16"/>
      <c r="F218" s="9"/>
      <c r="G218" s="41"/>
      <c r="H218" s="57"/>
      <c r="I218" s="14"/>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row>
    <row r="219" spans="1:114" s="46" customFormat="1" ht="29.25" customHeight="1">
      <c r="A219" s="31" t="s">
        <v>15</v>
      </c>
      <c r="B219" s="22">
        <f>B218</f>
        <v>0</v>
      </c>
      <c r="C219" s="2"/>
      <c r="D219" s="23">
        <f>SUM(D217:D218)</f>
        <v>0</v>
      </c>
      <c r="E219" s="22"/>
      <c r="F219" s="9"/>
      <c r="G219" s="41"/>
      <c r="H219" s="8">
        <f>H218</f>
        <v>0</v>
      </c>
      <c r="I219" s="8"/>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row>
    <row r="220" spans="1:114" s="46" customFormat="1" ht="39.75" customHeight="1">
      <c r="A220" s="7" t="s">
        <v>50</v>
      </c>
      <c r="B220" s="59"/>
      <c r="C220" s="17"/>
      <c r="D220" s="82"/>
      <c r="E220" s="16"/>
      <c r="F220" s="6"/>
      <c r="G220" s="41"/>
      <c r="H220" s="57"/>
      <c r="I220" s="14"/>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row>
    <row r="221" spans="1:114" s="46" customFormat="1" ht="24.75" customHeight="1">
      <c r="A221" s="31" t="s">
        <v>15</v>
      </c>
      <c r="B221" s="22">
        <f>SUM(B220)</f>
        <v>0</v>
      </c>
      <c r="C221" s="2"/>
      <c r="D221" s="23">
        <f>D220</f>
        <v>0</v>
      </c>
      <c r="E221" s="22"/>
      <c r="F221" s="9"/>
      <c r="G221" s="41"/>
      <c r="H221" s="8">
        <f>H220</f>
        <v>0</v>
      </c>
      <c r="I221" s="8"/>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row>
    <row r="222" spans="1:114" s="46" customFormat="1" ht="27.75" customHeight="1">
      <c r="A222" s="7" t="s">
        <v>42</v>
      </c>
      <c r="B222" s="59"/>
      <c r="C222" s="17"/>
      <c r="D222" s="83"/>
      <c r="E222" s="16"/>
      <c r="F222" s="6"/>
      <c r="G222" s="41"/>
      <c r="H222" s="57"/>
      <c r="I222" s="14"/>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row>
    <row r="223" spans="1:114" s="46" customFormat="1" ht="23.25" customHeight="1">
      <c r="A223" s="31" t="s">
        <v>15</v>
      </c>
      <c r="B223" s="22">
        <f>B222</f>
        <v>0</v>
      </c>
      <c r="C223" s="2"/>
      <c r="D223" s="23">
        <f>D222</f>
        <v>0</v>
      </c>
      <c r="E223" s="22"/>
      <c r="F223" s="9"/>
      <c r="G223" s="41"/>
      <c r="H223" s="8">
        <f>H222</f>
        <v>0</v>
      </c>
      <c r="I223" s="8"/>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row>
    <row r="224" spans="1:114" s="46" customFormat="1" ht="24" customHeight="1">
      <c r="A224" s="300" t="s">
        <v>48</v>
      </c>
      <c r="B224" s="261"/>
      <c r="C224" s="303"/>
      <c r="D224" s="83"/>
      <c r="E224" s="16"/>
      <c r="F224" s="6"/>
      <c r="G224" s="41"/>
      <c r="H224" s="57"/>
      <c r="I224" s="14"/>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5"/>
      <c r="CK224" s="45"/>
      <c r="CL224" s="45"/>
      <c r="CM224" s="45"/>
      <c r="CN224" s="45"/>
      <c r="CO224" s="45"/>
      <c r="CP224" s="45"/>
      <c r="CQ224" s="45"/>
      <c r="CR224" s="45"/>
      <c r="CS224" s="45"/>
      <c r="CT224" s="45"/>
      <c r="CU224" s="45"/>
      <c r="CV224" s="45"/>
      <c r="CW224" s="45"/>
      <c r="CX224" s="45"/>
      <c r="CY224" s="45"/>
      <c r="CZ224" s="45"/>
      <c r="DA224" s="45"/>
      <c r="DB224" s="45"/>
      <c r="DC224" s="45"/>
      <c r="DD224" s="45"/>
      <c r="DE224" s="45"/>
      <c r="DF224" s="45"/>
      <c r="DG224" s="45"/>
      <c r="DH224" s="45"/>
      <c r="DI224" s="45"/>
      <c r="DJ224" s="45"/>
    </row>
    <row r="225" spans="1:114" s="46" customFormat="1" ht="19.5" customHeight="1">
      <c r="A225" s="301"/>
      <c r="B225" s="262"/>
      <c r="C225" s="304"/>
      <c r="D225" s="59"/>
      <c r="E225" s="74"/>
      <c r="F225" s="6"/>
      <c r="G225" s="41"/>
      <c r="H225" s="8"/>
      <c r="I225" s="8"/>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row>
    <row r="226" spans="1:114" s="46" customFormat="1" ht="24" customHeight="1">
      <c r="A226" s="65" t="s">
        <v>15</v>
      </c>
      <c r="B226" s="22">
        <f>B224</f>
        <v>0</v>
      </c>
      <c r="C226" s="305"/>
      <c r="D226" s="22">
        <f>D224+D225</f>
        <v>0</v>
      </c>
      <c r="E226" s="85"/>
      <c r="F226" s="6"/>
      <c r="G226" s="41"/>
      <c r="H226" s="8">
        <f>H224+H225</f>
        <v>0</v>
      </c>
      <c r="I226" s="8"/>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row>
    <row r="227" spans="1:114" s="46" customFormat="1" ht="39" customHeight="1">
      <c r="A227" s="7" t="s">
        <v>51</v>
      </c>
      <c r="B227" s="59"/>
      <c r="C227" s="17"/>
      <c r="D227" s="82"/>
      <c r="E227" s="16"/>
      <c r="F227" s="6"/>
      <c r="G227" s="41"/>
      <c r="H227" s="5"/>
      <c r="I227" s="14"/>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row>
    <row r="228" spans="1:114" s="46" customFormat="1" ht="24.75" customHeight="1" thickBot="1">
      <c r="A228" s="31" t="s">
        <v>15</v>
      </c>
      <c r="B228" s="39">
        <f>B227</f>
        <v>0</v>
      </c>
      <c r="C228" s="2"/>
      <c r="D228" s="89">
        <f>D227</f>
        <v>0</v>
      </c>
      <c r="E228" s="22"/>
      <c r="F228" s="9"/>
      <c r="G228" s="41"/>
      <c r="H228" s="50">
        <f>H227</f>
        <v>0</v>
      </c>
      <c r="I228" s="8"/>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c r="CO228" s="45"/>
      <c r="CP228" s="45"/>
      <c r="CQ228" s="45"/>
      <c r="CR228" s="45"/>
      <c r="CS228" s="45"/>
      <c r="CT228" s="45"/>
      <c r="CU228" s="45"/>
      <c r="CV228" s="45"/>
      <c r="CW228" s="45"/>
      <c r="CX228" s="45"/>
      <c r="CY228" s="45"/>
      <c r="CZ228" s="45"/>
      <c r="DA228" s="45"/>
      <c r="DB228" s="45"/>
      <c r="DC228" s="45"/>
      <c r="DD228" s="45"/>
      <c r="DE228" s="45"/>
      <c r="DF228" s="45"/>
      <c r="DG228" s="45"/>
      <c r="DH228" s="45"/>
      <c r="DI228" s="45"/>
      <c r="DJ228" s="45"/>
    </row>
    <row r="229" spans="1:114" s="67" customFormat="1" ht="60.75" customHeight="1" thickBot="1">
      <c r="A229" s="53" t="s">
        <v>57</v>
      </c>
      <c r="B229" s="22">
        <f>SUM(B219+B69+B72+B87+B91+B94+B98+B110+B131+B134+B141+B154+B160+B226+B164+B169+B172+B175+B182+B186+B194+B197+B202+B210+B213+B216+B221+B223+B228)</f>
        <v>791.2</v>
      </c>
      <c r="C229" s="22"/>
      <c r="D229" s="101">
        <f>SUM(D219+D69+D72+D87+D91+D226+D94+D98+D110+D131+D134+D141+D154+D160+D164+D169+D172+D175+D182+D186+D194+D197+D202+D210+D213+D216+D221+D223+D228+D206)</f>
        <v>991726.27</v>
      </c>
      <c r="E229" s="22">
        <f>SUM(E219+E69+E72+E87+E91+E226+E94+E98+E110+E131+E134+E141+E154+E160+E164+E169+E172+E175+E182+E186+E194+E197+E202+E210+E213+E216+E221+E223+E228)</f>
        <v>0</v>
      </c>
      <c r="F229" s="22">
        <f>SUM(F219+F69+F72+F87+F91+F226+F94+F98+F110+F131+F134+F141+F154+F160+F164+F169+F172+F175+F182+F186+F194+F197+F202+F210+F213+F216+F221+F223+F228)</f>
        <v>0</v>
      </c>
      <c r="G229" s="22">
        <f>SUM(G219+G69+G72+G87+G91+G226+G94+G98+G110+G131+G134+G141+G154+G160+G164+G169+G172+G175+G182+G186+G194+G197+G202+G210+G213+G216+G221+G223+G228)</f>
        <v>0</v>
      </c>
      <c r="H229" s="22">
        <f>SUM(H219+H69+H72+H87+H91+H226+H94+H98+H110+H131+H134+H141+H154+H160+H164+H169+H172+H175+H182+H186+H194+H197+H202+H210+H213+H216+H221+H223+H228)+H206</f>
        <v>0</v>
      </c>
      <c r="I229" s="22">
        <f>SUM(I219+I69+I72+I87+I91+I226+I94+I98+I110+I131+I134+I141+I154+I160+I164+I169+I172+I175+I182+I186+I194+I197+I202+I210+I213+I216+I221+I223+I228)</f>
        <v>0</v>
      </c>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c r="BI229" s="66"/>
      <c r="BJ229" s="66"/>
      <c r="BK229" s="66"/>
      <c r="BL229" s="66"/>
      <c r="BM229" s="66"/>
      <c r="BN229" s="66"/>
      <c r="BO229" s="66"/>
      <c r="BP229" s="66"/>
      <c r="BQ229" s="66"/>
      <c r="BR229" s="66"/>
      <c r="BS229" s="66"/>
      <c r="BT229" s="66"/>
      <c r="BU229" s="66"/>
      <c r="BV229" s="66"/>
      <c r="BW229" s="66"/>
      <c r="BX229" s="66"/>
      <c r="BY229" s="66"/>
      <c r="BZ229" s="66"/>
      <c r="CA229" s="66"/>
      <c r="CB229" s="66"/>
      <c r="CC229" s="66"/>
      <c r="CD229" s="66"/>
      <c r="CE229" s="66"/>
      <c r="CF229" s="66"/>
      <c r="CG229" s="66"/>
      <c r="CH229" s="66"/>
      <c r="CI229" s="66"/>
      <c r="CJ229" s="66"/>
      <c r="CK229" s="66"/>
      <c r="CL229" s="66"/>
      <c r="CM229" s="66"/>
      <c r="CN229" s="66"/>
      <c r="CO229" s="66"/>
      <c r="CP229" s="66"/>
      <c r="CQ229" s="66"/>
      <c r="CR229" s="66"/>
      <c r="CS229" s="66"/>
      <c r="CT229" s="66"/>
      <c r="CU229" s="66"/>
      <c r="CV229" s="66"/>
      <c r="CW229" s="66"/>
      <c r="CX229" s="66"/>
      <c r="CY229" s="66"/>
      <c r="CZ229" s="66"/>
      <c r="DA229" s="66"/>
      <c r="DB229" s="66"/>
      <c r="DC229" s="66"/>
      <c r="DD229" s="66"/>
      <c r="DE229" s="66"/>
      <c r="DF229" s="66"/>
      <c r="DG229" s="66"/>
      <c r="DH229" s="66"/>
      <c r="DI229" s="66"/>
      <c r="DJ229" s="66"/>
    </row>
    <row r="230" spans="1:114" s="67" customFormat="1" ht="79.5" customHeight="1" thickBot="1">
      <c r="A230" s="31" t="s">
        <v>58</v>
      </c>
      <c r="B230" s="23">
        <f>SUM(B73+B229)</f>
        <v>791.2</v>
      </c>
      <c r="C230" s="23"/>
      <c r="D230" s="23">
        <f aca="true" t="shared" si="0" ref="D230:I230">SUM(D73+D229)</f>
        <v>991726.27</v>
      </c>
      <c r="E230" s="23">
        <f t="shared" si="0"/>
        <v>0</v>
      </c>
      <c r="F230" s="23">
        <f t="shared" si="0"/>
        <v>0</v>
      </c>
      <c r="G230" s="23">
        <f t="shared" si="0"/>
        <v>0</v>
      </c>
      <c r="H230" s="23">
        <f t="shared" si="0"/>
        <v>0</v>
      </c>
      <c r="I230" s="23">
        <f t="shared" si="0"/>
        <v>0</v>
      </c>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c r="BV230" s="66"/>
      <c r="BW230" s="66"/>
      <c r="BX230" s="66"/>
      <c r="BY230" s="66"/>
      <c r="BZ230" s="66"/>
      <c r="CA230" s="66"/>
      <c r="CB230" s="66"/>
      <c r="CC230" s="66"/>
      <c r="CD230" s="66"/>
      <c r="CE230" s="66"/>
      <c r="CF230" s="66"/>
      <c r="CG230" s="66"/>
      <c r="CH230" s="66"/>
      <c r="CI230" s="66"/>
      <c r="CJ230" s="66"/>
      <c r="CK230" s="66"/>
      <c r="CL230" s="66"/>
      <c r="CM230" s="66"/>
      <c r="CN230" s="66"/>
      <c r="CO230" s="66"/>
      <c r="CP230" s="66"/>
      <c r="CQ230" s="66"/>
      <c r="CR230" s="66"/>
      <c r="CS230" s="66"/>
      <c r="CT230" s="66"/>
      <c r="CU230" s="66"/>
      <c r="CV230" s="66"/>
      <c r="CW230" s="66"/>
      <c r="CX230" s="66"/>
      <c r="CY230" s="66"/>
      <c r="CZ230" s="66"/>
      <c r="DA230" s="66"/>
      <c r="DB230" s="66"/>
      <c r="DC230" s="66"/>
      <c r="DD230" s="66"/>
      <c r="DE230" s="66"/>
      <c r="DF230" s="66"/>
      <c r="DG230" s="66"/>
      <c r="DH230" s="66"/>
      <c r="DI230" s="66"/>
      <c r="DJ230" s="66"/>
    </row>
    <row r="231" spans="1:114" s="70" customFormat="1" ht="9.75" customHeight="1" hidden="1">
      <c r="A231" s="24"/>
      <c r="B231" s="68"/>
      <c r="C231" s="24"/>
      <c r="D231" s="90"/>
      <c r="E231" s="71"/>
      <c r="F231" s="69"/>
      <c r="G231" s="69"/>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c r="CR231" s="34"/>
      <c r="CS231" s="34"/>
      <c r="CT231" s="34"/>
      <c r="CU231" s="34"/>
      <c r="CV231" s="34"/>
      <c r="CW231" s="34"/>
      <c r="CX231" s="34"/>
      <c r="CY231" s="34"/>
      <c r="CZ231" s="34"/>
      <c r="DA231" s="34"/>
      <c r="DB231" s="34"/>
      <c r="DC231" s="34"/>
      <c r="DD231" s="34"/>
      <c r="DE231" s="34"/>
      <c r="DF231" s="34"/>
      <c r="DG231" s="34"/>
      <c r="DH231" s="34"/>
      <c r="DI231" s="34"/>
      <c r="DJ231" s="34"/>
    </row>
    <row r="232" spans="1:114" s="70" customFormat="1" ht="33" customHeight="1">
      <c r="A232" s="25" t="s">
        <v>59</v>
      </c>
      <c r="B232" s="71"/>
      <c r="C232" s="25"/>
      <c r="D232" s="90"/>
      <c r="E232" s="71" t="s">
        <v>24</v>
      </c>
      <c r="F232" s="69"/>
      <c r="G232" s="25" t="s">
        <v>61</v>
      </c>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c r="CP232" s="34"/>
      <c r="CQ232" s="34"/>
      <c r="CR232" s="34"/>
      <c r="CS232" s="34"/>
      <c r="CT232" s="34"/>
      <c r="CU232" s="34"/>
      <c r="CV232" s="34"/>
      <c r="CW232" s="34"/>
      <c r="CX232" s="34"/>
      <c r="CY232" s="34"/>
      <c r="CZ232" s="34"/>
      <c r="DA232" s="34"/>
      <c r="DB232" s="34"/>
      <c r="DC232" s="34"/>
      <c r="DD232" s="34"/>
      <c r="DE232" s="34"/>
      <c r="DF232" s="34"/>
      <c r="DG232" s="34"/>
      <c r="DH232" s="34"/>
      <c r="DI232" s="34"/>
      <c r="DJ232" s="34"/>
    </row>
    <row r="233" spans="1:9" ht="20.25" customHeight="1">
      <c r="A233" s="24" t="s">
        <v>25</v>
      </c>
      <c r="B233" s="68"/>
      <c r="C233" s="26"/>
      <c r="D233" s="91"/>
      <c r="E233" s="95"/>
      <c r="F233" s="24"/>
      <c r="G233" s="24" t="s">
        <v>84</v>
      </c>
      <c r="H233" s="13"/>
      <c r="I233" s="13"/>
    </row>
    <row r="234" spans="1:10" ht="20.25" customHeight="1">
      <c r="A234" s="26" t="s">
        <v>62</v>
      </c>
      <c r="B234" s="26"/>
      <c r="C234" s="26"/>
      <c r="D234" s="90"/>
      <c r="E234" s="93"/>
      <c r="F234" s="72"/>
      <c r="G234" s="72"/>
      <c r="H234" s="13"/>
      <c r="I234" s="47"/>
      <c r="J234" s="13" t="s">
        <v>60</v>
      </c>
    </row>
    <row r="235" spans="1:9" ht="20.25" customHeight="1">
      <c r="A235" s="26"/>
      <c r="B235" s="26"/>
      <c r="C235" s="26"/>
      <c r="D235" s="90"/>
      <c r="E235" s="93"/>
      <c r="F235" s="72"/>
      <c r="G235" s="72"/>
      <c r="H235" s="13"/>
      <c r="I235" s="13"/>
    </row>
    <row r="236" spans="1:9" ht="12" customHeight="1">
      <c r="A236" s="13"/>
      <c r="B236" s="27"/>
      <c r="C236" s="27"/>
      <c r="D236" s="92"/>
      <c r="E236" s="27"/>
      <c r="F236" s="13"/>
      <c r="G236" s="13"/>
      <c r="H236" s="13"/>
      <c r="I236" s="13"/>
    </row>
    <row r="237" spans="1:9" ht="15.75">
      <c r="A237" s="13"/>
      <c r="B237" s="27"/>
      <c r="C237" s="27"/>
      <c r="D237" s="92"/>
      <c r="E237" s="27"/>
      <c r="F237" s="13"/>
      <c r="G237" s="13"/>
      <c r="H237" s="13"/>
      <c r="I237" s="13"/>
    </row>
    <row r="238" spans="1:9" ht="15.75">
      <c r="A238" s="13"/>
      <c r="B238" s="27"/>
      <c r="C238" s="27"/>
      <c r="D238" s="92"/>
      <c r="E238" s="27"/>
      <c r="F238" s="13"/>
      <c r="G238" s="13"/>
      <c r="H238" s="13"/>
      <c r="I238" s="13"/>
    </row>
  </sheetData>
  <sheetProtection/>
  <mergeCells count="151">
    <mergeCell ref="D9:E10"/>
    <mergeCell ref="F9:G10"/>
    <mergeCell ref="B15:B16"/>
    <mergeCell ref="C15:C16"/>
    <mergeCell ref="G4:I4"/>
    <mergeCell ref="A5:I5"/>
    <mergeCell ref="A6:I6"/>
    <mergeCell ref="A7:I7"/>
    <mergeCell ref="A8:A11"/>
    <mergeCell ref="B8:E8"/>
    <mergeCell ref="F8:I8"/>
    <mergeCell ref="B9:C10"/>
    <mergeCell ref="A18:A20"/>
    <mergeCell ref="A21:A22"/>
    <mergeCell ref="B21:B22"/>
    <mergeCell ref="A24:A25"/>
    <mergeCell ref="B24:B25"/>
    <mergeCell ref="H9:I10"/>
    <mergeCell ref="A12:A13"/>
    <mergeCell ref="B12:B13"/>
    <mergeCell ref="C12:C13"/>
    <mergeCell ref="A15:A16"/>
    <mergeCell ref="G27:G28"/>
    <mergeCell ref="H27:H28"/>
    <mergeCell ref="I27:I28"/>
    <mergeCell ref="A31:A32"/>
    <mergeCell ref="B31:B32"/>
    <mergeCell ref="A27:A29"/>
    <mergeCell ref="B27:B29"/>
    <mergeCell ref="F27:F28"/>
    <mergeCell ref="C42:C43"/>
    <mergeCell ref="A45:A46"/>
    <mergeCell ref="B45:B46"/>
    <mergeCell ref="C35:C36"/>
    <mergeCell ref="B34:B36"/>
    <mergeCell ref="A34:A36"/>
    <mergeCell ref="C49:C50"/>
    <mergeCell ref="A52:A53"/>
    <mergeCell ref="B52:B53"/>
    <mergeCell ref="C52:C53"/>
    <mergeCell ref="A217:A218"/>
    <mergeCell ref="B217:B218"/>
    <mergeCell ref="C61:C62"/>
    <mergeCell ref="A64:A65"/>
    <mergeCell ref="B64:B65"/>
    <mergeCell ref="A67:A68"/>
    <mergeCell ref="B18:B19"/>
    <mergeCell ref="A55:A56"/>
    <mergeCell ref="B55:B56"/>
    <mergeCell ref="A58:A59"/>
    <mergeCell ref="B58:B59"/>
    <mergeCell ref="B48:B50"/>
    <mergeCell ref="A48:A50"/>
    <mergeCell ref="B67:B68"/>
    <mergeCell ref="A70:A71"/>
    <mergeCell ref="B70:B71"/>
    <mergeCell ref="B38:B40"/>
    <mergeCell ref="A38:A40"/>
    <mergeCell ref="A61:A62"/>
    <mergeCell ref="B61:B62"/>
    <mergeCell ref="A42:A43"/>
    <mergeCell ref="B42:B43"/>
    <mergeCell ref="F80:F86"/>
    <mergeCell ref="G80:G86"/>
    <mergeCell ref="A88:A90"/>
    <mergeCell ref="B88:B90"/>
    <mergeCell ref="C88:C90"/>
    <mergeCell ref="F88:F90"/>
    <mergeCell ref="G88:G90"/>
    <mergeCell ref="A92:A93"/>
    <mergeCell ref="B92:B93"/>
    <mergeCell ref="F92:F93"/>
    <mergeCell ref="G92:G93"/>
    <mergeCell ref="A95:A97"/>
    <mergeCell ref="B95:B97"/>
    <mergeCell ref="F95:F97"/>
    <mergeCell ref="G95:G97"/>
    <mergeCell ref="F105:F109"/>
    <mergeCell ref="G105:G109"/>
    <mergeCell ref="F126:F130"/>
    <mergeCell ref="G126:G130"/>
    <mergeCell ref="A132:A133"/>
    <mergeCell ref="B132:B133"/>
    <mergeCell ref="F132:F133"/>
    <mergeCell ref="G132:G133"/>
    <mergeCell ref="A121:A130"/>
    <mergeCell ref="A135:A140"/>
    <mergeCell ref="B135:B140"/>
    <mergeCell ref="F135:F140"/>
    <mergeCell ref="G135:G140"/>
    <mergeCell ref="F142:F152"/>
    <mergeCell ref="G142:G152"/>
    <mergeCell ref="A142:A153"/>
    <mergeCell ref="B142:B153"/>
    <mergeCell ref="B165:B168"/>
    <mergeCell ref="A155:A159"/>
    <mergeCell ref="B155:B159"/>
    <mergeCell ref="F155:F159"/>
    <mergeCell ref="G155:G159"/>
    <mergeCell ref="A161:A163"/>
    <mergeCell ref="B161:B163"/>
    <mergeCell ref="F161:F163"/>
    <mergeCell ref="G161:G163"/>
    <mergeCell ref="A176:A181"/>
    <mergeCell ref="F166:F168"/>
    <mergeCell ref="G166:G168"/>
    <mergeCell ref="A165:A168"/>
    <mergeCell ref="F170:F171"/>
    <mergeCell ref="G170:G171"/>
    <mergeCell ref="A173:A174"/>
    <mergeCell ref="B173:B174"/>
    <mergeCell ref="F173:F174"/>
    <mergeCell ref="G173:G174"/>
    <mergeCell ref="B187:B193"/>
    <mergeCell ref="A187:A193"/>
    <mergeCell ref="F179:F181"/>
    <mergeCell ref="G179:G181"/>
    <mergeCell ref="A183:A185"/>
    <mergeCell ref="B183:B185"/>
    <mergeCell ref="C183:C184"/>
    <mergeCell ref="F183:F185"/>
    <mergeCell ref="G183:G185"/>
    <mergeCell ref="B176:B181"/>
    <mergeCell ref="A214:A215"/>
    <mergeCell ref="B214:B215"/>
    <mergeCell ref="A211:A212"/>
    <mergeCell ref="B211:B212"/>
    <mergeCell ref="B203:B205"/>
    <mergeCell ref="A203:A205"/>
    <mergeCell ref="A207:A209"/>
    <mergeCell ref="B207:B209"/>
    <mergeCell ref="A198:A201"/>
    <mergeCell ref="B198:B201"/>
    <mergeCell ref="F198:F201"/>
    <mergeCell ref="G198:G201"/>
    <mergeCell ref="F189:F193"/>
    <mergeCell ref="G189:G193"/>
    <mergeCell ref="A195:A196"/>
    <mergeCell ref="B195:B196"/>
    <mergeCell ref="F195:F196"/>
    <mergeCell ref="G195:G196"/>
    <mergeCell ref="A224:A225"/>
    <mergeCell ref="B224:B225"/>
    <mergeCell ref="A170:A171"/>
    <mergeCell ref="B170:B171"/>
    <mergeCell ref="C224:C226"/>
    <mergeCell ref="B74:B86"/>
    <mergeCell ref="A74:A86"/>
    <mergeCell ref="B99:B109"/>
    <mergeCell ref="A99:A109"/>
    <mergeCell ref="B121:B130"/>
  </mergeCells>
  <printOptions/>
  <pageMargins left="0.7086614173228347" right="0.11811023622047245" top="0.15748031496062992" bottom="0.15748031496062992" header="0.31496062992125984" footer="0.31496062992125984"/>
  <pageSetup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1:DJ219"/>
  <sheetViews>
    <sheetView zoomScalePageLayoutView="0" workbookViewId="0" topLeftCell="A8">
      <pane xSplit="1" ySplit="4" topLeftCell="B168" activePane="bottomRight" state="frozen"/>
      <selection pane="topLeft" activeCell="A8" sqref="A8"/>
      <selection pane="topRight" activeCell="B8" sqref="B8"/>
      <selection pane="bottomLeft" activeCell="A12" sqref="A12"/>
      <selection pane="bottomRight" activeCell="J173" sqref="J173"/>
    </sheetView>
  </sheetViews>
  <sheetFormatPr defaultColWidth="25.7109375" defaultRowHeight="15"/>
  <cols>
    <col min="1" max="1" width="14.28125" style="1" customWidth="1"/>
    <col min="2" max="2" width="10.57421875" style="28" customWidth="1"/>
    <col min="3" max="3" width="39.00390625" style="28" customWidth="1"/>
    <col min="4" max="4" width="11.57421875" style="73" customWidth="1"/>
    <col min="5" max="5" width="22.57421875" style="28" customWidth="1"/>
    <col min="6" max="6" width="9.28125" style="1" customWidth="1"/>
    <col min="7" max="7" width="8.8515625" style="1" customWidth="1"/>
    <col min="8" max="8" width="9.28125" style="1" customWidth="1"/>
    <col min="9" max="9" width="10.421875" style="1" customWidth="1"/>
    <col min="10" max="114" width="25.7109375" style="13" customWidth="1"/>
    <col min="115" max="16384" width="25.7109375" style="1" customWidth="1"/>
  </cols>
  <sheetData>
    <row r="1" spans="3:9" ht="18" customHeight="1">
      <c r="C1" s="1" t="s">
        <v>24</v>
      </c>
      <c r="G1" s="29" t="s">
        <v>49</v>
      </c>
      <c r="I1" s="29"/>
    </row>
    <row r="2" spans="3:9" ht="18" customHeight="1">
      <c r="C2" s="1"/>
      <c r="G2" s="29" t="s">
        <v>45</v>
      </c>
      <c r="I2" s="29"/>
    </row>
    <row r="3" spans="3:9" ht="16.5" customHeight="1">
      <c r="C3" s="1"/>
      <c r="G3" s="29" t="s">
        <v>46</v>
      </c>
      <c r="I3" s="29"/>
    </row>
    <row r="4" spans="3:9" ht="15.75">
      <c r="C4" s="1"/>
      <c r="G4" s="297"/>
      <c r="H4" s="297"/>
      <c r="I4" s="297"/>
    </row>
    <row r="5" spans="1:9" ht="15.75">
      <c r="A5" s="298" t="s">
        <v>19</v>
      </c>
      <c r="B5" s="298"/>
      <c r="C5" s="298"/>
      <c r="D5" s="298"/>
      <c r="E5" s="298"/>
      <c r="F5" s="298"/>
      <c r="G5" s="298"/>
      <c r="H5" s="298"/>
      <c r="I5" s="298"/>
    </row>
    <row r="6" spans="1:9" ht="15.75">
      <c r="A6" s="298" t="s">
        <v>95</v>
      </c>
      <c r="B6" s="298"/>
      <c r="C6" s="298"/>
      <c r="D6" s="298"/>
      <c r="E6" s="298"/>
      <c r="F6" s="298"/>
      <c r="G6" s="298"/>
      <c r="H6" s="298"/>
      <c r="I6" s="298"/>
    </row>
    <row r="7" spans="1:9" ht="26.25" customHeight="1">
      <c r="A7" s="298" t="s">
        <v>20</v>
      </c>
      <c r="B7" s="298"/>
      <c r="C7" s="298"/>
      <c r="D7" s="298"/>
      <c r="E7" s="298"/>
      <c r="F7" s="298"/>
      <c r="G7" s="298"/>
      <c r="H7" s="298"/>
      <c r="I7" s="298"/>
    </row>
    <row r="8" spans="1:10" ht="30" customHeight="1">
      <c r="A8" s="294" t="s">
        <v>21</v>
      </c>
      <c r="B8" s="294" t="s">
        <v>0</v>
      </c>
      <c r="C8" s="294"/>
      <c r="D8" s="294"/>
      <c r="E8" s="294"/>
      <c r="F8" s="294" t="s">
        <v>1</v>
      </c>
      <c r="G8" s="294"/>
      <c r="H8" s="294"/>
      <c r="I8" s="294"/>
      <c r="J8" s="36"/>
    </row>
    <row r="9" spans="1:10" ht="13.5" customHeight="1">
      <c r="A9" s="294"/>
      <c r="B9" s="294" t="s">
        <v>2</v>
      </c>
      <c r="C9" s="294"/>
      <c r="D9" s="299" t="s">
        <v>18</v>
      </c>
      <c r="E9" s="299"/>
      <c r="F9" s="294" t="s">
        <v>2</v>
      </c>
      <c r="G9" s="294"/>
      <c r="H9" s="294" t="s">
        <v>3</v>
      </c>
      <c r="I9" s="295"/>
      <c r="J9" s="36"/>
    </row>
    <row r="10" spans="1:10" ht="22.5" customHeight="1">
      <c r="A10" s="294"/>
      <c r="B10" s="294"/>
      <c r="C10" s="294"/>
      <c r="D10" s="299"/>
      <c r="E10" s="299"/>
      <c r="F10" s="294"/>
      <c r="G10" s="294"/>
      <c r="H10" s="295"/>
      <c r="I10" s="295"/>
      <c r="J10" s="36"/>
    </row>
    <row r="11" spans="1:10" ht="51" customHeight="1">
      <c r="A11" s="294"/>
      <c r="B11" s="16" t="s">
        <v>17</v>
      </c>
      <c r="C11" s="16" t="s">
        <v>4</v>
      </c>
      <c r="D11" s="16" t="s">
        <v>17</v>
      </c>
      <c r="E11" s="16" t="s">
        <v>5</v>
      </c>
      <c r="F11" s="14" t="s">
        <v>17</v>
      </c>
      <c r="G11" s="14" t="s">
        <v>4</v>
      </c>
      <c r="H11" s="14" t="s">
        <v>17</v>
      </c>
      <c r="I11" s="14" t="s">
        <v>6</v>
      </c>
      <c r="J11" s="36"/>
    </row>
    <row r="12" spans="1:10" ht="20.25" customHeight="1">
      <c r="A12" s="306" t="s">
        <v>63</v>
      </c>
      <c r="B12" s="296"/>
      <c r="C12" s="307"/>
      <c r="D12" s="60"/>
      <c r="E12" s="74"/>
      <c r="F12" s="37"/>
      <c r="G12" s="32"/>
      <c r="H12" s="38"/>
      <c r="I12" s="15"/>
      <c r="J12" s="36"/>
    </row>
    <row r="13" spans="1:10" ht="15" customHeight="1">
      <c r="A13" s="306"/>
      <c r="B13" s="296"/>
      <c r="C13" s="307"/>
      <c r="D13" s="16"/>
      <c r="E13" s="59"/>
      <c r="F13" s="37"/>
      <c r="G13" s="32"/>
      <c r="H13" s="38"/>
      <c r="I13" s="30"/>
      <c r="J13" s="36"/>
    </row>
    <row r="14" spans="1:114" s="46" customFormat="1" ht="20.25" customHeight="1">
      <c r="A14" s="31" t="s">
        <v>14</v>
      </c>
      <c r="B14" s="39">
        <f>SUM(B12:B13)</f>
        <v>0</v>
      </c>
      <c r="C14" s="2"/>
      <c r="D14" s="75">
        <f>D13+D12</f>
        <v>0</v>
      </c>
      <c r="E14" s="76"/>
      <c r="F14" s="40"/>
      <c r="G14" s="41"/>
      <c r="H14" s="42">
        <f>SUM(H12:H13)</f>
        <v>0</v>
      </c>
      <c r="I14" s="31"/>
      <c r="J14" s="43"/>
      <c r="K14" s="44"/>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row>
    <row r="15" spans="1:11" ht="33.75" customHeight="1">
      <c r="A15" s="306" t="s">
        <v>64</v>
      </c>
      <c r="B15" s="278"/>
      <c r="C15" s="303"/>
      <c r="D15" s="60"/>
      <c r="E15" s="74"/>
      <c r="F15" s="37"/>
      <c r="G15" s="32"/>
      <c r="H15" s="30"/>
      <c r="I15" s="15"/>
      <c r="J15" s="36"/>
      <c r="K15" s="47"/>
    </row>
    <row r="16" spans="1:11" ht="13.5" customHeight="1">
      <c r="A16" s="306"/>
      <c r="B16" s="280"/>
      <c r="C16" s="305"/>
      <c r="D16" s="60"/>
      <c r="E16" s="59"/>
      <c r="F16" s="37"/>
      <c r="G16" s="32"/>
      <c r="H16" s="30"/>
      <c r="I16" s="30"/>
      <c r="J16" s="36"/>
      <c r="K16" s="47"/>
    </row>
    <row r="17" spans="1:114" s="46" customFormat="1" ht="22.5" customHeight="1">
      <c r="A17" s="31" t="s">
        <v>14</v>
      </c>
      <c r="B17" s="39">
        <f>SUM(B15)</f>
        <v>0</v>
      </c>
      <c r="C17" s="17"/>
      <c r="D17" s="64">
        <f>D16+D15</f>
        <v>0</v>
      </c>
      <c r="E17" s="76"/>
      <c r="F17" s="40"/>
      <c r="G17" s="41"/>
      <c r="H17" s="31">
        <f>SUM(H15:H16)</f>
        <v>0</v>
      </c>
      <c r="I17" s="31"/>
      <c r="J17" s="43"/>
      <c r="K17" s="44"/>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row>
    <row r="18" spans="1:114" s="46" customFormat="1" ht="21" customHeight="1">
      <c r="A18" s="306" t="s">
        <v>65</v>
      </c>
      <c r="B18" s="278"/>
      <c r="C18" s="17"/>
      <c r="D18" s="16"/>
      <c r="E18" s="105"/>
      <c r="F18" s="40"/>
      <c r="G18" s="41"/>
      <c r="H18" s="30"/>
      <c r="I18" s="15"/>
      <c r="J18" s="43"/>
      <c r="K18" s="44"/>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row>
    <row r="19" spans="1:114" s="46" customFormat="1" ht="18.75" customHeight="1">
      <c r="A19" s="306"/>
      <c r="B19" s="280"/>
      <c r="C19" s="141"/>
      <c r="D19" s="16"/>
      <c r="E19" s="59"/>
      <c r="F19" s="40"/>
      <c r="G19" s="41"/>
      <c r="H19" s="30"/>
      <c r="I19" s="15"/>
      <c r="J19" s="43"/>
      <c r="K19" s="44"/>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row>
    <row r="20" spans="1:114" s="46" customFormat="1" ht="20.25" customHeight="1">
      <c r="A20" s="306"/>
      <c r="B20" s="39">
        <f>SUM(B18)</f>
        <v>0</v>
      </c>
      <c r="C20" s="98"/>
      <c r="D20" s="77">
        <f>SUM(D18:D19)</f>
        <v>0</v>
      </c>
      <c r="E20" s="76"/>
      <c r="F20" s="48">
        <f>F18</f>
        <v>0</v>
      </c>
      <c r="G20" s="41"/>
      <c r="H20" s="31">
        <f>SUM(H18:H18)</f>
        <v>0</v>
      </c>
      <c r="I20" s="31"/>
      <c r="J20" s="43"/>
      <c r="K20" s="4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row>
    <row r="21" spans="1:11" ht="28.5" customHeight="1">
      <c r="A21" s="300" t="s">
        <v>66</v>
      </c>
      <c r="B21" s="278"/>
      <c r="C21" s="127"/>
      <c r="D21" s="16"/>
      <c r="E21" s="74"/>
      <c r="F21" s="37"/>
      <c r="G21" s="32"/>
      <c r="H21" s="30"/>
      <c r="I21" s="15"/>
      <c r="J21" s="36"/>
      <c r="K21" s="47"/>
    </row>
    <row r="22" spans="1:11" ht="18.75" customHeight="1">
      <c r="A22" s="302"/>
      <c r="B22" s="280"/>
      <c r="C22" s="142"/>
      <c r="D22" s="143"/>
      <c r="E22" s="122"/>
      <c r="F22" s="37"/>
      <c r="G22" s="32"/>
      <c r="H22" s="30"/>
      <c r="I22" s="30"/>
      <c r="J22" s="36"/>
      <c r="K22" s="47"/>
    </row>
    <row r="23" spans="1:114" s="46" customFormat="1" ht="25.5" customHeight="1">
      <c r="A23" s="31" t="s">
        <v>15</v>
      </c>
      <c r="B23" s="39">
        <f>B21</f>
        <v>0</v>
      </c>
      <c r="C23" s="2"/>
      <c r="D23" s="79">
        <f>D22+D21</f>
        <v>0</v>
      </c>
      <c r="E23" s="80"/>
      <c r="F23" s="40"/>
      <c r="G23" s="41"/>
      <c r="H23" s="31">
        <f>SUM(H21:H22)</f>
        <v>0</v>
      </c>
      <c r="I23" s="31"/>
      <c r="J23" s="43"/>
      <c r="K23" s="44"/>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row>
    <row r="24" spans="1:114" s="46" customFormat="1" ht="27.75" customHeight="1">
      <c r="A24" s="300" t="s">
        <v>67</v>
      </c>
      <c r="B24" s="278"/>
      <c r="C24" s="17"/>
      <c r="D24" s="60"/>
      <c r="E24" s="105"/>
      <c r="F24" s="40"/>
      <c r="G24" s="41"/>
      <c r="H24" s="30"/>
      <c r="I24" s="15"/>
      <c r="J24" s="43"/>
      <c r="K24" s="44"/>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row>
    <row r="25" spans="1:11" ht="21.75" customHeight="1">
      <c r="A25" s="302"/>
      <c r="B25" s="280"/>
      <c r="C25" s="98"/>
      <c r="D25" s="49"/>
      <c r="E25" s="59"/>
      <c r="F25" s="37"/>
      <c r="G25" s="32"/>
      <c r="H25" s="38"/>
      <c r="I25" s="32"/>
      <c r="J25" s="36"/>
      <c r="K25" s="47"/>
    </row>
    <row r="26" spans="1:114" s="46" customFormat="1" ht="19.5" customHeight="1">
      <c r="A26" s="31" t="s">
        <v>15</v>
      </c>
      <c r="B26" s="39">
        <f>B24</f>
        <v>0</v>
      </c>
      <c r="C26" s="17"/>
      <c r="D26" s="79">
        <f>SUM(D24:D25)</f>
        <v>0</v>
      </c>
      <c r="E26" s="80"/>
      <c r="F26" s="40"/>
      <c r="G26" s="41"/>
      <c r="H26" s="42">
        <f>SUM(H24:H25)</f>
        <v>0</v>
      </c>
      <c r="I26" s="31"/>
      <c r="J26" s="43"/>
      <c r="K26" s="44"/>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row>
    <row r="27" spans="1:114" s="46" customFormat="1" ht="24.75" customHeight="1">
      <c r="A27" s="300" t="s">
        <v>68</v>
      </c>
      <c r="B27" s="278"/>
      <c r="C27" s="127"/>
      <c r="D27" s="16"/>
      <c r="E27" s="112"/>
      <c r="F27" s="292"/>
      <c r="G27" s="293"/>
      <c r="H27" s="294"/>
      <c r="I27" s="294"/>
      <c r="J27" s="43"/>
      <c r="K27" s="44"/>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row>
    <row r="28" spans="1:114" s="46" customFormat="1" ht="23.25" customHeight="1">
      <c r="A28" s="301"/>
      <c r="B28" s="279"/>
      <c r="C28" s="130"/>
      <c r="D28" s="16"/>
      <c r="E28" s="59"/>
      <c r="F28" s="292"/>
      <c r="G28" s="293"/>
      <c r="H28" s="294"/>
      <c r="I28" s="294"/>
      <c r="J28" s="43"/>
      <c r="K28" s="4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row>
    <row r="29" spans="1:114" s="46" customFormat="1" ht="21" customHeight="1">
      <c r="A29" s="302"/>
      <c r="B29" s="280"/>
      <c r="C29" s="130"/>
      <c r="D29" s="60"/>
      <c r="E29" s="59"/>
      <c r="F29" s="6"/>
      <c r="G29" s="41"/>
      <c r="H29" s="33"/>
      <c r="I29" s="33"/>
      <c r="J29" s="43"/>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row>
    <row r="30" spans="1:114" s="46" customFormat="1" ht="22.5" customHeight="1">
      <c r="A30" s="31" t="s">
        <v>15</v>
      </c>
      <c r="B30" s="39">
        <f>SUM(B27:B28)</f>
        <v>0</v>
      </c>
      <c r="C30" s="18"/>
      <c r="D30" s="79">
        <f>SUM(D27:D29)</f>
        <v>0</v>
      </c>
      <c r="E30" s="80"/>
      <c r="F30" s="50"/>
      <c r="G30" s="41"/>
      <c r="H30" s="33">
        <f>SUM(H27:H29)</f>
        <v>0</v>
      </c>
      <c r="I30" s="33"/>
      <c r="J30" s="43"/>
      <c r="K30" s="44"/>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row>
    <row r="31" spans="1:11" ht="21.75" customHeight="1">
      <c r="A31" s="300" t="s">
        <v>69</v>
      </c>
      <c r="B31" s="278"/>
      <c r="C31" s="17"/>
      <c r="D31" s="16"/>
      <c r="E31" s="81"/>
      <c r="F31" s="6"/>
      <c r="G31" s="32"/>
      <c r="H31" s="14"/>
      <c r="I31" s="14"/>
      <c r="J31" s="36"/>
      <c r="K31" s="47"/>
    </row>
    <row r="32" spans="1:11" ht="27.75" customHeight="1">
      <c r="A32" s="302"/>
      <c r="B32" s="280"/>
      <c r="C32" s="98"/>
      <c r="D32" s="16"/>
      <c r="E32" s="59"/>
      <c r="F32" s="6"/>
      <c r="G32" s="32"/>
      <c r="H32" s="14"/>
      <c r="I32" s="14"/>
      <c r="J32" s="36"/>
      <c r="K32" s="47"/>
    </row>
    <row r="33" spans="1:114" s="46" customFormat="1" ht="24" customHeight="1">
      <c r="A33" s="33" t="s">
        <v>15</v>
      </c>
      <c r="B33" s="39">
        <f>SUM(B31)</f>
        <v>0</v>
      </c>
      <c r="C33" s="18"/>
      <c r="D33" s="75">
        <f>D32+D31</f>
        <v>0</v>
      </c>
      <c r="E33" s="139"/>
      <c r="F33" s="10"/>
      <c r="G33" s="41"/>
      <c r="H33" s="33">
        <f>SUM(H31:H32)</f>
        <v>0</v>
      </c>
      <c r="I33" s="33"/>
      <c r="J33" s="43"/>
      <c r="K33" s="4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row>
    <row r="34" spans="1:114" s="46" customFormat="1" ht="24" customHeight="1">
      <c r="A34" s="300" t="s">
        <v>70</v>
      </c>
      <c r="B34" s="278"/>
      <c r="C34" s="18"/>
      <c r="D34" s="140"/>
      <c r="E34" s="59"/>
      <c r="F34" s="10"/>
      <c r="G34" s="41"/>
      <c r="H34" s="33"/>
      <c r="I34" s="33"/>
      <c r="J34" s="43"/>
      <c r="K34" s="4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row>
    <row r="35" spans="1:10" ht="12.75" customHeight="1">
      <c r="A35" s="301"/>
      <c r="B35" s="279"/>
      <c r="C35" s="307"/>
      <c r="D35" s="60"/>
      <c r="E35" s="16"/>
      <c r="F35" s="51"/>
      <c r="G35" s="32"/>
      <c r="H35" s="14"/>
      <c r="I35" s="14"/>
      <c r="J35" s="36"/>
    </row>
    <row r="36" spans="1:10" ht="13.5" customHeight="1">
      <c r="A36" s="302"/>
      <c r="B36" s="280"/>
      <c r="C36" s="307"/>
      <c r="D36" s="60"/>
      <c r="E36" s="107"/>
      <c r="F36" s="51"/>
      <c r="G36" s="32"/>
      <c r="H36" s="14"/>
      <c r="I36" s="14"/>
      <c r="J36" s="36"/>
    </row>
    <row r="37" spans="1:114" s="46" customFormat="1" ht="27.75" customHeight="1">
      <c r="A37" s="31" t="s">
        <v>15</v>
      </c>
      <c r="B37" s="39">
        <f>SUM(B34:B36)</f>
        <v>0</v>
      </c>
      <c r="C37" s="2"/>
      <c r="D37" s="23">
        <f>SUM(D34:D36)</f>
        <v>0</v>
      </c>
      <c r="E37" s="82"/>
      <c r="F37" s="50"/>
      <c r="G37" s="41"/>
      <c r="H37" s="33">
        <f>SUM(H35:H36)</f>
        <v>0</v>
      </c>
      <c r="I37" s="33"/>
      <c r="J37" s="43"/>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row>
    <row r="38" spans="1:10" ht="24.75" customHeight="1">
      <c r="A38" s="300" t="s">
        <v>71</v>
      </c>
      <c r="B38" s="278"/>
      <c r="C38" s="35"/>
      <c r="D38" s="16"/>
      <c r="E38" s="108"/>
      <c r="F38" s="51"/>
      <c r="G38" s="32"/>
      <c r="H38" s="14"/>
      <c r="I38" s="14"/>
      <c r="J38" s="36"/>
    </row>
    <row r="39" spans="1:10" ht="15" customHeight="1">
      <c r="A39" s="301"/>
      <c r="B39" s="279"/>
      <c r="C39" s="17"/>
      <c r="D39" s="103"/>
      <c r="E39" s="113"/>
      <c r="F39" s="51"/>
      <c r="G39" s="32"/>
      <c r="H39" s="14"/>
      <c r="I39" s="14"/>
      <c r="J39" s="36"/>
    </row>
    <row r="40" spans="1:10" ht="20.25" customHeight="1">
      <c r="A40" s="302"/>
      <c r="B40" s="280"/>
      <c r="C40" s="18"/>
      <c r="D40" s="103"/>
      <c r="E40" s="59"/>
      <c r="F40" s="51"/>
      <c r="G40" s="32"/>
      <c r="H40" s="14"/>
      <c r="I40" s="14"/>
      <c r="J40" s="36"/>
    </row>
    <row r="41" spans="1:114" s="46" customFormat="1" ht="27" customHeight="1">
      <c r="A41" s="31" t="s">
        <v>15</v>
      </c>
      <c r="B41" s="39">
        <f>SUM(B38:B39)</f>
        <v>0</v>
      </c>
      <c r="C41" s="98"/>
      <c r="D41" s="23">
        <f>SUM(D38:D40)</f>
        <v>0</v>
      </c>
      <c r="E41" s="82"/>
      <c r="F41" s="50"/>
      <c r="G41" s="41"/>
      <c r="H41" s="33">
        <f>H38</f>
        <v>0</v>
      </c>
      <c r="I41" s="33"/>
      <c r="J41" s="43"/>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row>
    <row r="42" spans="1:114" s="46" customFormat="1" ht="21" customHeight="1">
      <c r="A42" s="300" t="s">
        <v>7</v>
      </c>
      <c r="B42" s="278"/>
      <c r="C42" s="303"/>
      <c r="D42" s="60"/>
      <c r="E42" s="16"/>
      <c r="F42" s="50"/>
      <c r="G42" s="41"/>
      <c r="H42" s="14"/>
      <c r="I42" s="14"/>
      <c r="J42" s="43"/>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row>
    <row r="43" spans="1:10" ht="18" customHeight="1">
      <c r="A43" s="302"/>
      <c r="B43" s="280"/>
      <c r="C43" s="305"/>
      <c r="D43" s="16"/>
      <c r="E43" s="59"/>
      <c r="F43" s="6"/>
      <c r="G43" s="32"/>
      <c r="H43" s="14"/>
      <c r="I43" s="14"/>
      <c r="J43" s="36"/>
    </row>
    <row r="44" spans="1:114" s="46" customFormat="1" ht="23.25" customHeight="1">
      <c r="A44" s="31" t="s">
        <v>15</v>
      </c>
      <c r="B44" s="39">
        <f>SUM(B42)</f>
        <v>0</v>
      </c>
      <c r="C44" s="17"/>
      <c r="D44" s="22">
        <f>D43+D42</f>
        <v>0</v>
      </c>
      <c r="E44" s="60"/>
      <c r="F44" s="50"/>
      <c r="G44" s="41"/>
      <c r="H44" s="33">
        <f>SUM(H42:H43)</f>
        <v>0</v>
      </c>
      <c r="I44" s="33"/>
      <c r="J44" s="43"/>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row>
    <row r="45" spans="1:114" s="46" customFormat="1" ht="32.25" customHeight="1">
      <c r="A45" s="300" t="s">
        <v>16</v>
      </c>
      <c r="B45" s="278"/>
      <c r="C45" s="18"/>
      <c r="D45" s="16"/>
      <c r="E45" s="16"/>
      <c r="F45" s="50"/>
      <c r="G45" s="41"/>
      <c r="H45" s="14"/>
      <c r="I45" s="14"/>
      <c r="J45" s="43"/>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row>
    <row r="46" spans="1:10" ht="16.5" customHeight="1">
      <c r="A46" s="302"/>
      <c r="B46" s="280"/>
      <c r="C46" s="18"/>
      <c r="D46" s="78"/>
      <c r="E46" s="59"/>
      <c r="F46" s="6"/>
      <c r="G46" s="32"/>
      <c r="H46" s="14"/>
      <c r="I46" s="14"/>
      <c r="J46" s="36"/>
    </row>
    <row r="47" spans="1:114" s="46" customFormat="1" ht="27.75" customHeight="1">
      <c r="A47" s="31" t="s">
        <v>15</v>
      </c>
      <c r="B47" s="39">
        <f>SUM(B45:B45)</f>
        <v>0</v>
      </c>
      <c r="C47" s="145"/>
      <c r="D47" s="23">
        <f>D46+D45</f>
        <v>0</v>
      </c>
      <c r="E47" s="82"/>
      <c r="F47" s="50"/>
      <c r="G47" s="41"/>
      <c r="H47" s="33">
        <f>SUM(H45:H46)</f>
        <v>0</v>
      </c>
      <c r="I47" s="33"/>
      <c r="J47" s="43"/>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row>
    <row r="48" spans="1:114" s="46" customFormat="1" ht="169.5" customHeight="1">
      <c r="A48" s="300" t="s">
        <v>8</v>
      </c>
      <c r="B48" s="278">
        <f>20400+19370</f>
        <v>39770</v>
      </c>
      <c r="C48" s="121" t="s">
        <v>114</v>
      </c>
      <c r="D48" s="60"/>
      <c r="E48" s="59"/>
      <c r="F48" s="50"/>
      <c r="G48" s="41"/>
      <c r="H48" s="33"/>
      <c r="I48" s="33"/>
      <c r="J48" s="43"/>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row>
    <row r="49" spans="1:114" s="46" customFormat="1" ht="10.5" customHeight="1">
      <c r="A49" s="301"/>
      <c r="B49" s="279"/>
      <c r="C49" s="303"/>
      <c r="D49" s="60"/>
      <c r="E49" s="100"/>
      <c r="F49" s="50"/>
      <c r="G49" s="41"/>
      <c r="H49" s="33"/>
      <c r="I49" s="33"/>
      <c r="J49" s="43"/>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row>
    <row r="50" spans="1:10" ht="15.75" customHeight="1">
      <c r="A50" s="302"/>
      <c r="B50" s="280"/>
      <c r="C50" s="305"/>
      <c r="D50" s="16"/>
      <c r="E50" s="108"/>
      <c r="F50" s="5"/>
      <c r="G50" s="32"/>
      <c r="H50" s="14"/>
      <c r="I50" s="14"/>
      <c r="J50" s="36"/>
    </row>
    <row r="51" spans="1:114" s="46" customFormat="1" ht="31.5" customHeight="1">
      <c r="A51" s="31" t="s">
        <v>15</v>
      </c>
      <c r="B51" s="39">
        <f>SUM(B48)</f>
        <v>39770</v>
      </c>
      <c r="C51" s="17"/>
      <c r="D51" s="22">
        <f>SUM(D48:D50)</f>
        <v>0</v>
      </c>
      <c r="E51" s="82"/>
      <c r="F51" s="50"/>
      <c r="G51" s="41"/>
      <c r="H51" s="33">
        <f>SUM(H49:H50)</f>
        <v>0</v>
      </c>
      <c r="I51" s="33"/>
      <c r="J51" s="43"/>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row>
    <row r="52" spans="1:114" s="46" customFormat="1" ht="15" customHeight="1">
      <c r="A52" s="300" t="s">
        <v>9</v>
      </c>
      <c r="B52" s="278">
        <v>8000</v>
      </c>
      <c r="C52" s="303" t="s">
        <v>115</v>
      </c>
      <c r="D52" s="59"/>
      <c r="E52" s="74"/>
      <c r="F52" s="50"/>
      <c r="G52" s="41"/>
      <c r="H52" s="33"/>
      <c r="I52" s="33"/>
      <c r="J52" s="43"/>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row>
    <row r="53" spans="1:10" ht="32.25" customHeight="1">
      <c r="A53" s="302"/>
      <c r="B53" s="280"/>
      <c r="C53" s="305"/>
      <c r="D53" s="16"/>
      <c r="E53" s="16"/>
      <c r="F53" s="5"/>
      <c r="G53" s="32"/>
      <c r="H53" s="12"/>
      <c r="I53" s="14"/>
      <c r="J53" s="36"/>
    </row>
    <row r="54" spans="1:114" s="46" customFormat="1" ht="19.5" customHeight="1">
      <c r="A54" s="31" t="s">
        <v>15</v>
      </c>
      <c r="B54" s="39">
        <f>B52</f>
        <v>8000</v>
      </c>
      <c r="C54" s="18"/>
      <c r="D54" s="22">
        <f>D53+D52</f>
        <v>0</v>
      </c>
      <c r="E54" s="82"/>
      <c r="F54" s="50">
        <f>F53</f>
        <v>0</v>
      </c>
      <c r="G54" s="41"/>
      <c r="H54" s="33">
        <f>SUM(H52:H53)</f>
        <v>0</v>
      </c>
      <c r="I54" s="33"/>
      <c r="J54" s="43"/>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row>
    <row r="55" spans="1:114" s="46" customFormat="1" ht="32.25" customHeight="1">
      <c r="A55" s="300" t="s">
        <v>10</v>
      </c>
      <c r="B55" s="278"/>
      <c r="C55" s="17"/>
      <c r="D55" s="59"/>
      <c r="E55" s="74"/>
      <c r="F55" s="50"/>
      <c r="G55" s="41"/>
      <c r="H55" s="33"/>
      <c r="I55" s="33"/>
      <c r="J55" s="43"/>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row>
    <row r="56" spans="1:10" ht="23.25" customHeight="1">
      <c r="A56" s="302"/>
      <c r="B56" s="280"/>
      <c r="C56" s="98"/>
      <c r="D56" s="16"/>
      <c r="E56" s="59"/>
      <c r="F56" s="5"/>
      <c r="G56" s="32"/>
      <c r="H56" s="14"/>
      <c r="I56" s="14"/>
      <c r="J56" s="36"/>
    </row>
    <row r="57" spans="1:114" s="46" customFormat="1" ht="21.75" customHeight="1">
      <c r="A57" s="31" t="s">
        <v>15</v>
      </c>
      <c r="B57" s="39">
        <f>SUM(B55:B55)</f>
        <v>0</v>
      </c>
      <c r="C57" s="17"/>
      <c r="D57" s="22">
        <f>D56+D55</f>
        <v>0</v>
      </c>
      <c r="E57" s="60"/>
      <c r="F57" s="50"/>
      <c r="G57" s="41"/>
      <c r="H57" s="33">
        <f>SUM(H55:H56)</f>
        <v>0</v>
      </c>
      <c r="I57" s="33"/>
      <c r="J57" s="43"/>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row>
    <row r="58" spans="1:114" s="46" customFormat="1" ht="34.5" customHeight="1">
      <c r="A58" s="300" t="s">
        <v>11</v>
      </c>
      <c r="B58" s="278"/>
      <c r="C58" s="17"/>
      <c r="D58" s="59"/>
      <c r="E58" s="74"/>
      <c r="F58" s="5"/>
      <c r="G58" s="32"/>
      <c r="H58" s="14"/>
      <c r="I58" s="14"/>
      <c r="J58" s="43"/>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row>
    <row r="59" spans="1:10" ht="23.25" customHeight="1">
      <c r="A59" s="302"/>
      <c r="B59" s="280"/>
      <c r="C59" s="98"/>
      <c r="D59" s="16"/>
      <c r="E59" s="59"/>
      <c r="F59" s="5"/>
      <c r="G59" s="32"/>
      <c r="H59" s="14"/>
      <c r="I59" s="14"/>
      <c r="J59" s="36"/>
    </row>
    <row r="60" spans="1:114" s="46" customFormat="1" ht="30" customHeight="1">
      <c r="A60" s="31" t="s">
        <v>15</v>
      </c>
      <c r="B60" s="52">
        <f>SUM(B58:B58)</f>
        <v>0</v>
      </c>
      <c r="C60" s="98"/>
      <c r="D60" s="22">
        <f>D59+D58</f>
        <v>0</v>
      </c>
      <c r="E60" s="60"/>
      <c r="F60" s="50">
        <f>F59+F58</f>
        <v>0</v>
      </c>
      <c r="G60" s="41"/>
      <c r="H60" s="33">
        <f>SUM(H58:H59)</f>
        <v>0</v>
      </c>
      <c r="I60" s="33"/>
      <c r="J60" s="43"/>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row>
    <row r="61" spans="1:114" s="46" customFormat="1" ht="13.5" customHeight="1">
      <c r="A61" s="300" t="s">
        <v>12</v>
      </c>
      <c r="B61" s="278"/>
      <c r="C61" s="303"/>
      <c r="D61" s="59"/>
      <c r="E61" s="74"/>
      <c r="F61" s="50"/>
      <c r="G61" s="41"/>
      <c r="H61" s="33"/>
      <c r="I61" s="33"/>
      <c r="J61" s="43"/>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row>
    <row r="62" spans="1:10" ht="23.25" customHeight="1">
      <c r="A62" s="302"/>
      <c r="B62" s="280"/>
      <c r="C62" s="305"/>
      <c r="D62" s="16"/>
      <c r="E62" s="16"/>
      <c r="F62" s="5"/>
      <c r="G62" s="32"/>
      <c r="H62" s="14"/>
      <c r="I62" s="14"/>
      <c r="J62" s="36"/>
    </row>
    <row r="63" spans="1:114" s="46" customFormat="1" ht="24.75" customHeight="1">
      <c r="A63" s="31" t="s">
        <v>15</v>
      </c>
      <c r="B63" s="39">
        <f>SUM(B61:B61)</f>
        <v>0</v>
      </c>
      <c r="C63" s="98"/>
      <c r="D63" s="22">
        <f>D62+D61</f>
        <v>0</v>
      </c>
      <c r="E63" s="82"/>
      <c r="F63" s="50"/>
      <c r="G63" s="41"/>
      <c r="H63" s="33">
        <f>SUM(H61:H62)</f>
        <v>0</v>
      </c>
      <c r="I63" s="33"/>
      <c r="J63" s="43"/>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row>
    <row r="64" spans="1:114" s="46" customFormat="1" ht="23.25" customHeight="1">
      <c r="A64" s="300" t="s">
        <v>13</v>
      </c>
      <c r="B64" s="278"/>
      <c r="C64" s="17"/>
      <c r="D64" s="16"/>
      <c r="E64" s="16"/>
      <c r="F64" s="50"/>
      <c r="G64" s="41"/>
      <c r="H64" s="14"/>
      <c r="I64" s="14"/>
      <c r="J64" s="43"/>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row>
    <row r="65" spans="1:10" ht="27" customHeight="1">
      <c r="A65" s="302"/>
      <c r="B65" s="280"/>
      <c r="C65" s="98"/>
      <c r="D65" s="78"/>
      <c r="E65" s="59"/>
      <c r="F65" s="5"/>
      <c r="G65" s="32"/>
      <c r="H65" s="14"/>
      <c r="I65" s="14"/>
      <c r="J65" s="36"/>
    </row>
    <row r="66" spans="1:10" ht="21.75" customHeight="1">
      <c r="A66" s="31" t="s">
        <v>15</v>
      </c>
      <c r="B66" s="39">
        <f>SUM(B64:B64)</f>
        <v>0</v>
      </c>
      <c r="C66" s="98"/>
      <c r="D66" s="22">
        <f>D65+D64</f>
        <v>0</v>
      </c>
      <c r="E66" s="82"/>
      <c r="F66" s="50">
        <f>F65</f>
        <v>0</v>
      </c>
      <c r="G66" s="32"/>
      <c r="H66" s="33">
        <f>SUM(H64:H65)</f>
        <v>0</v>
      </c>
      <c r="I66" s="14"/>
      <c r="J66" s="36"/>
    </row>
    <row r="67" spans="1:10" s="56" customFormat="1" ht="24" customHeight="1">
      <c r="A67" s="268" t="s">
        <v>83</v>
      </c>
      <c r="B67" s="278"/>
      <c r="C67" s="17"/>
      <c r="D67" s="49"/>
      <c r="E67" s="74"/>
      <c r="F67" s="54"/>
      <c r="G67" s="4"/>
      <c r="H67" s="10"/>
      <c r="I67" s="11"/>
      <c r="J67" s="55"/>
    </row>
    <row r="68" spans="1:10" ht="32.25" customHeight="1">
      <c r="A68" s="269"/>
      <c r="B68" s="280"/>
      <c r="C68" s="98"/>
      <c r="D68" s="16"/>
      <c r="E68" s="59"/>
      <c r="F68" s="5"/>
      <c r="G68" s="32"/>
      <c r="H68" s="14"/>
      <c r="I68" s="14"/>
      <c r="J68" s="43"/>
    </row>
    <row r="69" spans="1:114" s="46" customFormat="1" ht="18" customHeight="1">
      <c r="A69" s="31" t="s">
        <v>15</v>
      </c>
      <c r="B69" s="39">
        <f>SUM(B67:B67)</f>
        <v>0</v>
      </c>
      <c r="C69" s="98"/>
      <c r="D69" s="22">
        <f>D68+D67</f>
        <v>0</v>
      </c>
      <c r="E69" s="23"/>
      <c r="F69" s="50">
        <f>F68</f>
        <v>0</v>
      </c>
      <c r="G69" s="41"/>
      <c r="H69" s="9">
        <f>SUM(H67:H68)</f>
        <v>0</v>
      </c>
      <c r="I69" s="33"/>
      <c r="J69" s="43"/>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row>
    <row r="70" spans="1:114" s="46" customFormat="1" ht="21" customHeight="1">
      <c r="A70" s="268" t="s">
        <v>82</v>
      </c>
      <c r="B70" s="278"/>
      <c r="C70" s="17"/>
      <c r="D70" s="16"/>
      <c r="E70" s="16"/>
      <c r="F70" s="50"/>
      <c r="G70" s="41"/>
      <c r="H70" s="14"/>
      <c r="I70" s="14"/>
      <c r="J70" s="43"/>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row>
    <row r="71" spans="1:10" ht="26.25" customHeight="1">
      <c r="A71" s="269"/>
      <c r="B71" s="280"/>
      <c r="C71" s="98"/>
      <c r="D71" s="59"/>
      <c r="E71" s="59"/>
      <c r="F71" s="5"/>
      <c r="G71" s="32"/>
      <c r="H71" s="33"/>
      <c r="I71" s="33"/>
      <c r="J71" s="43"/>
    </row>
    <row r="72" spans="1:114" s="46" customFormat="1" ht="30.75" customHeight="1">
      <c r="A72" s="31" t="s">
        <v>15</v>
      </c>
      <c r="B72" s="39">
        <f>SUM(B70:B70)</f>
        <v>0</v>
      </c>
      <c r="C72" s="98"/>
      <c r="D72" s="22">
        <f>D71+D70</f>
        <v>0</v>
      </c>
      <c r="E72" s="23"/>
      <c r="F72" s="50">
        <f>F71</f>
        <v>0</v>
      </c>
      <c r="G72" s="41"/>
      <c r="H72" s="33">
        <f>SUM(H70:H71)</f>
        <v>0</v>
      </c>
      <c r="I72" s="33"/>
      <c r="J72" s="43"/>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row>
    <row r="73" spans="1:114" s="46" customFormat="1" ht="30.75" customHeight="1">
      <c r="A73" s="53" t="s">
        <v>44</v>
      </c>
      <c r="B73" s="22">
        <f>B72+B69+B66+B63+B60+B57+B54+B51+B47+B44+B41+B37+B33+B30+B26+B23+B20+B17+B14</f>
        <v>47770</v>
      </c>
      <c r="C73" s="3"/>
      <c r="D73" s="22">
        <f>D72+D69+D66+D63+D60+D57+D54+D51+D47+D44+D41+D37+D33+D30+D26+D23+D20+D17+D14</f>
        <v>0</v>
      </c>
      <c r="E73" s="23"/>
      <c r="F73" s="22">
        <f>F72+F69+F66+F63+F60+F57+F54+F51+F47+F44+F41+F37+F33+F30+F26+F23+F20+F17+F14</f>
        <v>0</v>
      </c>
      <c r="G73" s="4"/>
      <c r="H73" s="22">
        <f>H72+H69+H66+H63+H60+H57+H54+H51+H47+H44+H41+H37+H33+H30+H26+H23+H20+H17+H14</f>
        <v>0</v>
      </c>
      <c r="I73" s="120"/>
      <c r="J73" s="43"/>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row>
    <row r="74" spans="1:114" s="46" customFormat="1" ht="53.25" customHeight="1">
      <c r="A74" s="300" t="s">
        <v>72</v>
      </c>
      <c r="B74" s="278"/>
      <c r="C74" s="127" t="s">
        <v>99</v>
      </c>
      <c r="D74" s="122">
        <f>22321.38+32190+7776.26+1974.78</f>
        <v>64262.420000000006</v>
      </c>
      <c r="E74" s="105" t="s">
        <v>87</v>
      </c>
      <c r="F74" s="118"/>
      <c r="G74" s="119"/>
      <c r="H74" s="33"/>
      <c r="I74" s="120"/>
      <c r="J74" s="43"/>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row>
    <row r="75" spans="1:114" s="46" customFormat="1" ht="120" customHeight="1">
      <c r="A75" s="301"/>
      <c r="B75" s="279"/>
      <c r="C75" s="127" t="s">
        <v>90</v>
      </c>
      <c r="D75" s="122">
        <v>151722</v>
      </c>
      <c r="E75" s="105" t="s">
        <v>80</v>
      </c>
      <c r="F75" s="118"/>
      <c r="G75" s="119"/>
      <c r="H75" s="33"/>
      <c r="I75" s="120"/>
      <c r="J75" s="43"/>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row>
    <row r="76" spans="1:114" s="46" customFormat="1" ht="28.5" customHeight="1">
      <c r="A76" s="301"/>
      <c r="B76" s="279"/>
      <c r="C76" s="121" t="s">
        <v>81</v>
      </c>
      <c r="D76" s="144">
        <f>673.92</f>
        <v>673.92</v>
      </c>
      <c r="E76" s="105" t="s">
        <v>91</v>
      </c>
      <c r="F76" s="118"/>
      <c r="G76" s="119"/>
      <c r="H76" s="33"/>
      <c r="I76" s="120"/>
      <c r="J76" s="43"/>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row>
    <row r="77" spans="1:114" s="46" customFormat="1" ht="36.75" customHeight="1">
      <c r="A77" s="301"/>
      <c r="B77" s="279"/>
      <c r="C77" s="128" t="s">
        <v>81</v>
      </c>
      <c r="D77" s="109">
        <v>1280.45</v>
      </c>
      <c r="E77" s="59" t="s">
        <v>92</v>
      </c>
      <c r="F77" s="118"/>
      <c r="G77" s="119"/>
      <c r="H77" s="33"/>
      <c r="I77" s="120"/>
      <c r="J77" s="43"/>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row>
    <row r="78" spans="1:114" s="46" customFormat="1" ht="18" customHeight="1">
      <c r="A78" s="301"/>
      <c r="B78" s="279"/>
      <c r="C78" s="146"/>
      <c r="D78" s="109"/>
      <c r="E78" s="106"/>
      <c r="F78" s="5"/>
      <c r="G78" s="14"/>
      <c r="H78" s="12"/>
      <c r="I78" s="15"/>
      <c r="J78" s="43"/>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row>
    <row r="79" spans="1:114" s="46" customFormat="1" ht="26.25" customHeight="1">
      <c r="A79" s="301"/>
      <c r="B79" s="279"/>
      <c r="C79" s="146"/>
      <c r="D79" s="109"/>
      <c r="E79" s="106"/>
      <c r="F79" s="5"/>
      <c r="G79" s="14"/>
      <c r="H79" s="12"/>
      <c r="I79" s="15"/>
      <c r="J79" s="43"/>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row>
    <row r="80" spans="1:114" s="46" customFormat="1" ht="21" customHeight="1">
      <c r="A80" s="302"/>
      <c r="B80" s="280"/>
      <c r="C80" s="146"/>
      <c r="D80" s="122"/>
      <c r="E80" s="106"/>
      <c r="F80" s="5"/>
      <c r="G80" s="14"/>
      <c r="H80" s="12"/>
      <c r="I80" s="15"/>
      <c r="J80" s="43"/>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row>
    <row r="81" spans="1:114" s="46" customFormat="1" ht="27.75" customHeight="1">
      <c r="A81" s="31" t="s">
        <v>15</v>
      </c>
      <c r="B81" s="39">
        <f>B74</f>
        <v>0</v>
      </c>
      <c r="C81" s="2"/>
      <c r="D81" s="22">
        <f>SUM(D74:D80)</f>
        <v>217938.79000000004</v>
      </c>
      <c r="E81" s="23"/>
      <c r="F81" s="50">
        <f>F80</f>
        <v>0</v>
      </c>
      <c r="G81" s="41"/>
      <c r="H81" s="9">
        <f>SUM(H78:H80)</f>
        <v>0</v>
      </c>
      <c r="I81" s="33"/>
      <c r="J81" s="43"/>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row>
    <row r="82" spans="1:114" s="46" customFormat="1" ht="24" customHeight="1">
      <c r="A82" s="300" t="s">
        <v>28</v>
      </c>
      <c r="B82" s="278"/>
      <c r="C82" s="272"/>
      <c r="D82" s="16"/>
      <c r="E82" s="16"/>
      <c r="F82" s="288"/>
      <c r="G82" s="268"/>
      <c r="H82" s="9"/>
      <c r="I82" s="33"/>
      <c r="J82" s="43"/>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row>
    <row r="83" spans="1:114" s="46" customFormat="1" ht="21.75" customHeight="1">
      <c r="A83" s="301"/>
      <c r="B83" s="279"/>
      <c r="C83" s="287"/>
      <c r="D83" s="59"/>
      <c r="E83" s="74"/>
      <c r="F83" s="289"/>
      <c r="G83" s="271"/>
      <c r="H83" s="14"/>
      <c r="I83" s="14"/>
      <c r="J83" s="43"/>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row>
    <row r="84" spans="1:9" ht="2.25" customHeight="1" hidden="1">
      <c r="A84" s="302"/>
      <c r="B84" s="280"/>
      <c r="C84" s="273"/>
      <c r="D84" s="59"/>
      <c r="E84" s="83"/>
      <c r="F84" s="290"/>
      <c r="G84" s="269"/>
      <c r="H84" s="57"/>
      <c r="I84" s="14"/>
    </row>
    <row r="85" spans="1:114" s="46" customFormat="1" ht="19.5" customHeight="1">
      <c r="A85" s="31" t="s">
        <v>15</v>
      </c>
      <c r="B85" s="39">
        <f>SUM(B82:B82)</f>
        <v>0</v>
      </c>
      <c r="C85" s="2"/>
      <c r="D85" s="101">
        <f>SUM(D82:D84)</f>
        <v>0</v>
      </c>
      <c r="E85" s="84"/>
      <c r="F85" s="50">
        <f>F82</f>
        <v>0</v>
      </c>
      <c r="G85" s="41"/>
      <c r="H85" s="8">
        <f>SUM(H83:H84)</f>
        <v>0</v>
      </c>
      <c r="I85" s="33"/>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row>
    <row r="86" spans="1:114" s="46" customFormat="1" ht="27" customHeight="1">
      <c r="A86" s="300" t="s">
        <v>55</v>
      </c>
      <c r="B86" s="278"/>
      <c r="C86" s="21"/>
      <c r="D86" s="82"/>
      <c r="E86" s="16"/>
      <c r="F86" s="288"/>
      <c r="G86" s="268"/>
      <c r="H86" s="8"/>
      <c r="I86" s="33"/>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row>
    <row r="87" spans="1:114" s="46" customFormat="1" ht="21.75" customHeight="1">
      <c r="A87" s="302"/>
      <c r="B87" s="280"/>
      <c r="C87" s="114"/>
      <c r="D87" s="59"/>
      <c r="E87" s="59"/>
      <c r="F87" s="290"/>
      <c r="G87" s="269"/>
      <c r="H87" s="58"/>
      <c r="I87" s="58"/>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row>
    <row r="88" spans="1:114" s="46" customFormat="1" ht="26.25" customHeight="1">
      <c r="A88" s="31" t="s">
        <v>15</v>
      </c>
      <c r="B88" s="39">
        <f>SUM(B86:B87)</f>
        <v>0</v>
      </c>
      <c r="C88" s="3"/>
      <c r="D88" s="23">
        <f>SUM(D86:D87)</f>
        <v>0</v>
      </c>
      <c r="E88" s="23"/>
      <c r="F88" s="10">
        <f>F86</f>
        <v>0</v>
      </c>
      <c r="G88" s="41"/>
      <c r="H88" s="8">
        <f>SUM(H86:H87)</f>
        <v>0</v>
      </c>
      <c r="I88" s="33"/>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row>
    <row r="89" spans="1:114" s="46" customFormat="1" ht="32.25" customHeight="1">
      <c r="A89" s="300" t="s">
        <v>54</v>
      </c>
      <c r="B89" s="284"/>
      <c r="C89" s="128" t="s">
        <v>100</v>
      </c>
      <c r="D89" s="109">
        <f>5046.66+1974.78</f>
        <v>7021.44</v>
      </c>
      <c r="E89" s="105" t="s">
        <v>87</v>
      </c>
      <c r="F89" s="266"/>
      <c r="G89" s="268"/>
      <c r="H89" s="57"/>
      <c r="I89" s="14"/>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row>
    <row r="90" spans="1:114" s="46" customFormat="1" ht="32.25" customHeight="1">
      <c r="A90" s="301"/>
      <c r="B90" s="285"/>
      <c r="C90" s="136"/>
      <c r="D90" s="109"/>
      <c r="E90" s="117"/>
      <c r="F90" s="270"/>
      <c r="G90" s="271"/>
      <c r="H90" s="57"/>
      <c r="I90" s="14"/>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row>
    <row r="91" spans="1:114" s="46" customFormat="1" ht="16.5" customHeight="1">
      <c r="A91" s="302"/>
      <c r="B91" s="286"/>
      <c r="C91" s="128"/>
      <c r="D91" s="109"/>
      <c r="E91" s="59"/>
      <c r="F91" s="267"/>
      <c r="G91" s="269"/>
      <c r="H91" s="8"/>
      <c r="I91" s="33"/>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row>
    <row r="92" spans="1:114" s="46" customFormat="1" ht="24" customHeight="1">
      <c r="A92" s="31" t="s">
        <v>15</v>
      </c>
      <c r="B92" s="39">
        <f>SUM(B89:B91)</f>
        <v>0</v>
      </c>
      <c r="C92" s="3"/>
      <c r="D92" s="22">
        <f>SUM(D89:D91)</f>
        <v>7021.44</v>
      </c>
      <c r="E92" s="23"/>
      <c r="F92" s="10">
        <f>F89</f>
        <v>0</v>
      </c>
      <c r="G92" s="41"/>
      <c r="H92" s="8">
        <f>SUM(H89:H91)</f>
        <v>0</v>
      </c>
      <c r="I92" s="33"/>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row>
    <row r="93" spans="1:114" s="46" customFormat="1" ht="39" customHeight="1">
      <c r="A93" s="300" t="s">
        <v>73</v>
      </c>
      <c r="B93" s="278"/>
      <c r="C93" s="121" t="s">
        <v>81</v>
      </c>
      <c r="D93" s="144">
        <v>1979.64</v>
      </c>
      <c r="E93" s="105" t="s">
        <v>91</v>
      </c>
      <c r="F93" s="123"/>
      <c r="G93" s="119"/>
      <c r="H93" s="8"/>
      <c r="I93" s="33"/>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row>
    <row r="94" spans="1:114" s="46" customFormat="1" ht="30" customHeight="1">
      <c r="A94" s="301"/>
      <c r="B94" s="279"/>
      <c r="C94" s="128" t="s">
        <v>81</v>
      </c>
      <c r="D94" s="109">
        <v>1280.45</v>
      </c>
      <c r="E94" s="59" t="s">
        <v>92</v>
      </c>
      <c r="F94" s="123"/>
      <c r="G94" s="119"/>
      <c r="H94" s="8"/>
      <c r="I94" s="33"/>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row>
    <row r="95" spans="1:114" s="46" customFormat="1" ht="27.75" customHeight="1">
      <c r="A95" s="301"/>
      <c r="B95" s="279"/>
      <c r="C95" s="128" t="s">
        <v>101</v>
      </c>
      <c r="D95" s="109">
        <f>26825+2047.2+1974.78</f>
        <v>30846.98</v>
      </c>
      <c r="E95" s="105" t="s">
        <v>87</v>
      </c>
      <c r="F95" s="123"/>
      <c r="G95" s="119"/>
      <c r="H95" s="8"/>
      <c r="I95" s="33"/>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row>
    <row r="96" spans="1:9" ht="28.5" customHeight="1">
      <c r="A96" s="301"/>
      <c r="B96" s="279"/>
      <c r="C96" s="17"/>
      <c r="D96" s="109"/>
      <c r="E96" s="122"/>
      <c r="F96" s="281"/>
      <c r="G96" s="268"/>
      <c r="H96" s="5"/>
      <c r="I96" s="14"/>
    </row>
    <row r="97" spans="1:9" ht="23.25" customHeight="1">
      <c r="A97" s="301"/>
      <c r="B97" s="279"/>
      <c r="C97" s="17"/>
      <c r="D97" s="109"/>
      <c r="E97" s="109"/>
      <c r="F97" s="282"/>
      <c r="G97" s="271"/>
      <c r="H97" s="5"/>
      <c r="I97" s="14"/>
    </row>
    <row r="98" spans="1:9" ht="25.5" customHeight="1" hidden="1">
      <c r="A98" s="301"/>
      <c r="B98" s="279"/>
      <c r="C98" s="17"/>
      <c r="D98" s="28"/>
      <c r="E98" s="1"/>
      <c r="F98" s="282"/>
      <c r="G98" s="271"/>
      <c r="H98" s="5"/>
      <c r="I98" s="14"/>
    </row>
    <row r="99" spans="1:9" ht="24" customHeight="1">
      <c r="A99" s="301"/>
      <c r="B99" s="279"/>
      <c r="C99" s="17"/>
      <c r="D99" s="109"/>
      <c r="E99" s="106"/>
      <c r="F99" s="282"/>
      <c r="G99" s="271"/>
      <c r="H99" s="5"/>
      <c r="I99" s="14"/>
    </row>
    <row r="100" spans="1:9" ht="30.75" customHeight="1">
      <c r="A100" s="302"/>
      <c r="B100" s="280"/>
      <c r="C100" s="17"/>
      <c r="D100" s="109"/>
      <c r="E100" s="100"/>
      <c r="F100" s="283"/>
      <c r="G100" s="269"/>
      <c r="H100" s="5"/>
      <c r="I100" s="14"/>
    </row>
    <row r="101" spans="1:114" s="46" customFormat="1" ht="22.5" customHeight="1">
      <c r="A101" s="31" t="s">
        <v>15</v>
      </c>
      <c r="B101" s="52">
        <f>SUM(B93:B93)</f>
        <v>0</v>
      </c>
      <c r="C101" s="17"/>
      <c r="D101" s="22">
        <f>SUM(D93:D100)</f>
        <v>34107.07</v>
      </c>
      <c r="E101" s="23"/>
      <c r="F101" s="10">
        <f>F96</f>
        <v>0</v>
      </c>
      <c r="G101" s="41"/>
      <c r="H101" s="50">
        <f>H96</f>
        <v>0</v>
      </c>
      <c r="I101" s="33"/>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row>
    <row r="102" spans="1:114" s="46" customFormat="1" ht="174.75" customHeight="1" hidden="1">
      <c r="A102" s="31" t="s">
        <v>15</v>
      </c>
      <c r="B102" s="39">
        <f>SUM(B93:B101)</f>
        <v>0</v>
      </c>
      <c r="C102" s="2"/>
      <c r="D102" s="23"/>
      <c r="E102" s="22"/>
      <c r="F102" s="9"/>
      <c r="G102" s="41"/>
      <c r="H102" s="8"/>
      <c r="I102" s="8"/>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row>
    <row r="103" spans="1:114" s="46" customFormat="1" ht="16.5" customHeight="1" hidden="1">
      <c r="A103" s="61" t="s">
        <v>27</v>
      </c>
      <c r="B103" s="62">
        <v>10999</v>
      </c>
      <c r="C103" s="17" t="s">
        <v>35</v>
      </c>
      <c r="D103" s="23"/>
      <c r="E103" s="22"/>
      <c r="F103" s="9"/>
      <c r="G103" s="41"/>
      <c r="H103" s="8"/>
      <c r="I103" s="8"/>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row>
    <row r="104" spans="1:9" ht="17.25" customHeight="1" hidden="1">
      <c r="A104" s="61" t="s">
        <v>27</v>
      </c>
      <c r="B104" s="62">
        <v>1219</v>
      </c>
      <c r="C104" s="17" t="s">
        <v>29</v>
      </c>
      <c r="D104" s="60"/>
      <c r="E104" s="22"/>
      <c r="F104" s="12"/>
      <c r="G104" s="32"/>
      <c r="H104" s="57"/>
      <c r="I104" s="14"/>
    </row>
    <row r="105" spans="1:114" s="46" customFormat="1" ht="16.5" customHeight="1" hidden="1">
      <c r="A105" s="31" t="s">
        <v>15</v>
      </c>
      <c r="B105" s="39">
        <f>SUM(B103:B104)</f>
        <v>12218</v>
      </c>
      <c r="C105" s="2"/>
      <c r="D105" s="23"/>
      <c r="E105" s="22"/>
      <c r="F105" s="9"/>
      <c r="G105" s="41"/>
      <c r="H105" s="8"/>
      <c r="I105" s="8"/>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row>
    <row r="106" spans="1:114" s="46" customFormat="1" ht="16.5" customHeight="1" hidden="1">
      <c r="A106" s="61" t="s">
        <v>22</v>
      </c>
      <c r="B106" s="59">
        <v>3133</v>
      </c>
      <c r="C106" s="17" t="s">
        <v>30</v>
      </c>
      <c r="D106" s="60"/>
      <c r="E106" s="22"/>
      <c r="F106" s="9"/>
      <c r="G106" s="41"/>
      <c r="H106" s="8"/>
      <c r="I106" s="8"/>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row>
    <row r="107" spans="1:114" s="46" customFormat="1" ht="18.75" customHeight="1" hidden="1">
      <c r="A107" s="61" t="s">
        <v>22</v>
      </c>
      <c r="B107" s="59">
        <v>120</v>
      </c>
      <c r="C107" s="17" t="s">
        <v>26</v>
      </c>
      <c r="D107" s="60"/>
      <c r="E107" s="22"/>
      <c r="F107" s="9"/>
      <c r="G107" s="41"/>
      <c r="H107" s="8"/>
      <c r="I107" s="8"/>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row>
    <row r="108" spans="1:114" s="46" customFormat="1" ht="18.75" customHeight="1" hidden="1">
      <c r="A108" s="61" t="s">
        <v>22</v>
      </c>
      <c r="B108" s="59">
        <v>210</v>
      </c>
      <c r="C108" s="17" t="s">
        <v>26</v>
      </c>
      <c r="D108" s="60"/>
      <c r="E108" s="22"/>
      <c r="F108" s="9"/>
      <c r="G108" s="41"/>
      <c r="H108" s="8"/>
      <c r="I108" s="8"/>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row>
    <row r="109" spans="1:114" s="46" customFormat="1" ht="16.5" customHeight="1" hidden="1">
      <c r="A109" s="31" t="s">
        <v>15</v>
      </c>
      <c r="B109" s="22">
        <f>SUM(B106:B108)</f>
        <v>3463</v>
      </c>
      <c r="C109" s="2"/>
      <c r="D109" s="23"/>
      <c r="E109" s="22"/>
      <c r="F109" s="9"/>
      <c r="G109" s="41"/>
      <c r="H109" s="8"/>
      <c r="I109" s="8"/>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row>
    <row r="110" spans="1:114" s="46" customFormat="1" ht="17.25" customHeight="1" hidden="1">
      <c r="A110" s="61" t="s">
        <v>23</v>
      </c>
      <c r="B110" s="63">
        <v>60</v>
      </c>
      <c r="C110" s="17" t="s">
        <v>33</v>
      </c>
      <c r="D110" s="63">
        <v>149639.87</v>
      </c>
      <c r="E110" s="85" t="s">
        <v>32</v>
      </c>
      <c r="F110" s="6"/>
      <c r="G110" s="41"/>
      <c r="H110" s="61"/>
      <c r="I110" s="8"/>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row>
    <row r="111" spans="1:114" s="46" customFormat="1" ht="17.25" customHeight="1" hidden="1">
      <c r="A111" s="61" t="s">
        <v>23</v>
      </c>
      <c r="B111" s="63">
        <v>3951.33</v>
      </c>
      <c r="C111" s="17" t="s">
        <v>34</v>
      </c>
      <c r="D111" s="63"/>
      <c r="E111" s="85"/>
      <c r="F111" s="6"/>
      <c r="G111" s="41"/>
      <c r="H111" s="61"/>
      <c r="I111" s="8"/>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row>
    <row r="112" spans="1:114" s="46" customFormat="1" ht="35.25" customHeight="1">
      <c r="A112" s="300" t="s">
        <v>27</v>
      </c>
      <c r="B112" s="278"/>
      <c r="C112" s="127" t="s">
        <v>81</v>
      </c>
      <c r="D112" s="144">
        <v>673.92</v>
      </c>
      <c r="E112" s="105" t="s">
        <v>91</v>
      </c>
      <c r="F112" s="115"/>
      <c r="G112" s="119"/>
      <c r="H112" s="61"/>
      <c r="I112" s="8"/>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row>
    <row r="113" spans="1:114" s="46" customFormat="1" ht="24" customHeight="1">
      <c r="A113" s="301"/>
      <c r="B113" s="279"/>
      <c r="C113" s="128" t="s">
        <v>81</v>
      </c>
      <c r="D113" s="109">
        <v>1280.45</v>
      </c>
      <c r="E113" s="59" t="s">
        <v>92</v>
      </c>
      <c r="F113" s="115"/>
      <c r="G113" s="119"/>
      <c r="H113" s="61"/>
      <c r="I113" s="8"/>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row>
    <row r="114" spans="1:114" s="46" customFormat="1" ht="44.25" customHeight="1">
      <c r="A114" s="301"/>
      <c r="B114" s="279"/>
      <c r="C114" s="128" t="s">
        <v>102</v>
      </c>
      <c r="D114" s="109">
        <f>26825+7776.26+1974.78</f>
        <v>36576.04</v>
      </c>
      <c r="E114" s="105" t="s">
        <v>87</v>
      </c>
      <c r="F114" s="115"/>
      <c r="G114" s="119"/>
      <c r="H114" s="61"/>
      <c r="I114" s="8"/>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row>
    <row r="115" spans="1:9" ht="24" customHeight="1">
      <c r="A115" s="301"/>
      <c r="B115" s="279"/>
      <c r="C115" s="127"/>
      <c r="D115" s="109"/>
      <c r="E115" s="122"/>
      <c r="F115" s="281"/>
      <c r="G115" s="268"/>
      <c r="H115" s="57"/>
      <c r="I115" s="14"/>
    </row>
    <row r="116" spans="1:9" ht="20.25" customHeight="1">
      <c r="A116" s="301"/>
      <c r="B116" s="279"/>
      <c r="C116" s="127"/>
      <c r="D116" s="109"/>
      <c r="E116" s="109"/>
      <c r="F116" s="283"/>
      <c r="G116" s="269"/>
      <c r="H116" s="57"/>
      <c r="I116" s="104"/>
    </row>
    <row r="117" spans="1:114" s="46" customFormat="1" ht="25.5" customHeight="1">
      <c r="A117" s="31" t="s">
        <v>15</v>
      </c>
      <c r="B117" s="52">
        <f>SUM(B112:B112)</f>
        <v>0</v>
      </c>
      <c r="C117" s="130"/>
      <c r="D117" s="22">
        <f>SUM(D112:D116)</f>
        <v>38530.41</v>
      </c>
      <c r="E117" s="23"/>
      <c r="F117" s="10">
        <f>F115</f>
        <v>0</v>
      </c>
      <c r="G117" s="41"/>
      <c r="H117" s="8">
        <f>SUM(H115:H116)</f>
        <v>0</v>
      </c>
      <c r="I117" s="33"/>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row>
    <row r="118" spans="1:114" s="46" customFormat="1" ht="27" customHeight="1">
      <c r="A118" s="300" t="s">
        <v>74</v>
      </c>
      <c r="B118" s="278"/>
      <c r="C118" s="129"/>
      <c r="D118" s="131"/>
      <c r="E118" s="132"/>
      <c r="F118" s="281"/>
      <c r="G118" s="268"/>
      <c r="H118" s="57"/>
      <c r="I118" s="14"/>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row>
    <row r="119" spans="1:9" ht="16.5" customHeight="1">
      <c r="A119" s="302"/>
      <c r="B119" s="280"/>
      <c r="C119" s="17"/>
      <c r="D119" s="60"/>
      <c r="E119" s="122"/>
      <c r="F119" s="283"/>
      <c r="G119" s="269"/>
      <c r="H119" s="60"/>
      <c r="I119" s="94"/>
    </row>
    <row r="120" spans="1:114" s="46" customFormat="1" ht="25.5" customHeight="1">
      <c r="A120" s="31" t="s">
        <v>15</v>
      </c>
      <c r="B120" s="39">
        <f>SUM(B118:B118)</f>
        <v>0</v>
      </c>
      <c r="C120" s="3"/>
      <c r="D120" s="22">
        <f>SUM(D118:D119)</f>
        <v>0</v>
      </c>
      <c r="E120" s="23"/>
      <c r="F120" s="10">
        <f>F118</f>
        <v>0</v>
      </c>
      <c r="G120" s="41"/>
      <c r="H120" s="8">
        <f>SUM(H118:H119)</f>
        <v>0</v>
      </c>
      <c r="I120" s="33"/>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row>
    <row r="121" spans="1:114" s="46" customFormat="1" ht="24.75" customHeight="1">
      <c r="A121" s="300" t="s">
        <v>75</v>
      </c>
      <c r="B121" s="278"/>
      <c r="C121" s="127" t="s">
        <v>81</v>
      </c>
      <c r="D121" s="144">
        <v>1305.72</v>
      </c>
      <c r="E121" s="105" t="s">
        <v>91</v>
      </c>
      <c r="F121" s="281"/>
      <c r="G121" s="268"/>
      <c r="H121" s="57"/>
      <c r="I121" s="14"/>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row>
    <row r="122" spans="1:114" s="46" customFormat="1" ht="26.25" customHeight="1">
      <c r="A122" s="301"/>
      <c r="B122" s="279"/>
      <c r="C122" s="128" t="s">
        <v>81</v>
      </c>
      <c r="D122" s="109">
        <v>1280.45</v>
      </c>
      <c r="E122" s="59" t="s">
        <v>92</v>
      </c>
      <c r="F122" s="282"/>
      <c r="G122" s="271"/>
      <c r="H122" s="57"/>
      <c r="I122" s="14"/>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row>
    <row r="123" spans="1:114" s="46" customFormat="1" ht="48" customHeight="1">
      <c r="A123" s="301"/>
      <c r="B123" s="279"/>
      <c r="C123" s="137" t="s">
        <v>102</v>
      </c>
      <c r="D123" s="109">
        <f>26825+7776.26+1974.78</f>
        <v>36576.04</v>
      </c>
      <c r="E123" s="105" t="s">
        <v>87</v>
      </c>
      <c r="F123" s="282"/>
      <c r="G123" s="271"/>
      <c r="H123" s="57"/>
      <c r="I123" s="14"/>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row>
    <row r="124" spans="1:114" s="46" customFormat="1" ht="33.75" customHeight="1">
      <c r="A124" s="301"/>
      <c r="B124" s="279"/>
      <c r="C124" s="137"/>
      <c r="D124" s="109"/>
      <c r="E124" s="138"/>
      <c r="F124" s="282"/>
      <c r="G124" s="271"/>
      <c r="H124" s="57"/>
      <c r="I124" s="14"/>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row>
    <row r="125" spans="1:114" s="46" customFormat="1" ht="21.75" customHeight="1">
      <c r="A125" s="301"/>
      <c r="B125" s="279"/>
      <c r="C125" s="127"/>
      <c r="D125" s="122"/>
      <c r="E125" s="105"/>
      <c r="F125" s="282"/>
      <c r="G125" s="271"/>
      <c r="H125" s="57"/>
      <c r="I125" s="14"/>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row>
    <row r="126" spans="1:9" ht="25.5" customHeight="1">
      <c r="A126" s="302"/>
      <c r="B126" s="280"/>
      <c r="C126" s="116"/>
      <c r="D126" s="122"/>
      <c r="E126" s="105"/>
      <c r="F126" s="283"/>
      <c r="G126" s="269"/>
      <c r="H126" s="57"/>
      <c r="I126" s="14"/>
    </row>
    <row r="127" spans="1:114" s="46" customFormat="1" ht="21" customHeight="1">
      <c r="A127" s="31" t="s">
        <v>15</v>
      </c>
      <c r="B127" s="39">
        <f>SUM(B121:B126)</f>
        <v>0</v>
      </c>
      <c r="C127" s="3"/>
      <c r="D127" s="22">
        <f>SUM(D121:D126)</f>
        <v>39162.21</v>
      </c>
      <c r="E127" s="23"/>
      <c r="F127" s="10">
        <f>F121</f>
        <v>0</v>
      </c>
      <c r="G127" s="41"/>
      <c r="H127" s="8">
        <f>SUM(H121:H126)</f>
        <v>0</v>
      </c>
      <c r="I127" s="33"/>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row>
    <row r="128" spans="1:114" s="46" customFormat="1" ht="0.75" customHeight="1" hidden="1">
      <c r="A128" s="300" t="s">
        <v>76</v>
      </c>
      <c r="B128" s="278">
        <f>791.2+2245.96</f>
        <v>3037.16</v>
      </c>
      <c r="C128" s="17"/>
      <c r="D128" s="59"/>
      <c r="E128" s="86"/>
      <c r="F128" s="281"/>
      <c r="G128" s="268"/>
      <c r="H128" s="8"/>
      <c r="I128" s="33"/>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row>
    <row r="129" spans="1:114" s="46" customFormat="1" ht="102.75" customHeight="1">
      <c r="A129" s="301"/>
      <c r="B129" s="279"/>
      <c r="C129" s="121" t="s">
        <v>103</v>
      </c>
      <c r="D129" s="122">
        <f>33517.38+22321.38+32190+7776.26+1974.78</f>
        <v>97779.79999999999</v>
      </c>
      <c r="E129" s="105" t="s">
        <v>87</v>
      </c>
      <c r="F129" s="282"/>
      <c r="G129" s="271"/>
      <c r="H129" s="8"/>
      <c r="I129" s="120"/>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row>
    <row r="130" spans="1:114" s="46" customFormat="1" ht="27.75" customHeight="1">
      <c r="A130" s="301"/>
      <c r="B130" s="279"/>
      <c r="C130" s="128" t="s">
        <v>29</v>
      </c>
      <c r="D130" s="109"/>
      <c r="E130" s="122"/>
      <c r="F130" s="282"/>
      <c r="G130" s="271"/>
      <c r="H130" s="8"/>
      <c r="I130" s="120"/>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row>
    <row r="131" spans="1:114" s="46" customFormat="1" ht="144.75" customHeight="1">
      <c r="A131" s="301"/>
      <c r="B131" s="279"/>
      <c r="C131" s="127" t="s">
        <v>106</v>
      </c>
      <c r="D131" s="122">
        <v>142506</v>
      </c>
      <c r="E131" s="105" t="s">
        <v>80</v>
      </c>
      <c r="F131" s="282"/>
      <c r="G131" s="271"/>
      <c r="H131" s="8"/>
      <c r="I131" s="120"/>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row>
    <row r="132" spans="1:114" s="46" customFormat="1" ht="30" customHeight="1">
      <c r="A132" s="301"/>
      <c r="B132" s="279"/>
      <c r="C132" s="127" t="s">
        <v>107</v>
      </c>
      <c r="D132" s="122">
        <f>750</f>
        <v>750</v>
      </c>
      <c r="E132" s="105" t="s">
        <v>108</v>
      </c>
      <c r="F132" s="282"/>
      <c r="G132" s="271"/>
      <c r="H132" s="8"/>
      <c r="I132" s="120"/>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row>
    <row r="133" spans="1:114" s="46" customFormat="1" ht="30" customHeight="1">
      <c r="A133" s="301"/>
      <c r="B133" s="279"/>
      <c r="C133" s="129" t="s">
        <v>113</v>
      </c>
      <c r="D133" s="109">
        <f>1082.18</f>
        <v>1082.18</v>
      </c>
      <c r="E133" s="122" t="s">
        <v>112</v>
      </c>
      <c r="F133" s="282"/>
      <c r="G133" s="271"/>
      <c r="H133" s="8"/>
      <c r="I133" s="120"/>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row>
    <row r="134" spans="1:114" s="46" customFormat="1" ht="45" customHeight="1">
      <c r="A134" s="301"/>
      <c r="B134" s="279"/>
      <c r="C134" s="129" t="s">
        <v>111</v>
      </c>
      <c r="D134" s="109">
        <f>87150+800</f>
        <v>87950</v>
      </c>
      <c r="E134" s="122" t="s">
        <v>110</v>
      </c>
      <c r="F134" s="282"/>
      <c r="G134" s="271"/>
      <c r="H134" s="8"/>
      <c r="I134" s="120"/>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row>
    <row r="135" spans="1:114" s="46" customFormat="1" ht="24" customHeight="1">
      <c r="A135" s="31" t="s">
        <v>15</v>
      </c>
      <c r="B135" s="52">
        <f>SUM(B128:B128)</f>
        <v>3037.16</v>
      </c>
      <c r="C135" s="17"/>
      <c r="D135" s="22">
        <f>SUM(D129:D134)</f>
        <v>330067.98</v>
      </c>
      <c r="E135" s="60"/>
      <c r="F135" s="10">
        <f>F128</f>
        <v>0</v>
      </c>
      <c r="G135" s="41"/>
      <c r="H135" s="50">
        <f>SUM(H128:H134)</f>
        <v>0</v>
      </c>
      <c r="I135" s="33"/>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row>
    <row r="136" spans="1:114" s="46" customFormat="1" ht="37.5" customHeight="1">
      <c r="A136" s="306" t="s">
        <v>37</v>
      </c>
      <c r="B136" s="278"/>
      <c r="C136" s="127" t="s">
        <v>81</v>
      </c>
      <c r="D136" s="144">
        <v>1305.72</v>
      </c>
      <c r="E136" s="105" t="s">
        <v>91</v>
      </c>
      <c r="F136" s="266"/>
      <c r="G136" s="268"/>
      <c r="H136" s="57"/>
      <c r="I136" s="14"/>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row>
    <row r="137" spans="1:114" s="46" customFormat="1" ht="27" customHeight="1">
      <c r="A137" s="306"/>
      <c r="B137" s="279"/>
      <c r="C137" s="128" t="s">
        <v>81</v>
      </c>
      <c r="D137" s="109">
        <v>1280.45</v>
      </c>
      <c r="E137" s="59" t="s">
        <v>92</v>
      </c>
      <c r="F137" s="270"/>
      <c r="G137" s="271"/>
      <c r="H137" s="57"/>
      <c r="I137" s="14"/>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row>
    <row r="138" spans="1:114" s="46" customFormat="1" ht="27" customHeight="1">
      <c r="A138" s="306"/>
      <c r="B138" s="279"/>
      <c r="C138" s="129" t="s">
        <v>104</v>
      </c>
      <c r="D138" s="122">
        <f>2729.6+1974.78</f>
        <v>4704.38</v>
      </c>
      <c r="E138" s="105" t="s">
        <v>87</v>
      </c>
      <c r="F138" s="270"/>
      <c r="G138" s="271"/>
      <c r="H138" s="57"/>
      <c r="I138" s="14"/>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row>
    <row r="139" spans="1:114" s="46" customFormat="1" ht="27" customHeight="1">
      <c r="A139" s="306"/>
      <c r="B139" s="279"/>
      <c r="C139" s="127"/>
      <c r="D139" s="122"/>
      <c r="E139" s="105"/>
      <c r="F139" s="270"/>
      <c r="G139" s="271"/>
      <c r="H139" s="57"/>
      <c r="I139" s="14"/>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row>
    <row r="140" spans="1:114" s="46" customFormat="1" ht="27" customHeight="1">
      <c r="A140" s="306"/>
      <c r="B140" s="280"/>
      <c r="C140" s="128"/>
      <c r="D140" s="109"/>
      <c r="E140" s="122"/>
      <c r="F140" s="267"/>
      <c r="G140" s="269"/>
      <c r="H140" s="61"/>
      <c r="I140" s="8"/>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row>
    <row r="141" spans="1:114" s="46" customFormat="1" ht="19.5" customHeight="1">
      <c r="A141" s="31" t="s">
        <v>15</v>
      </c>
      <c r="B141" s="64">
        <f>B136</f>
        <v>0</v>
      </c>
      <c r="C141" s="2"/>
      <c r="D141" s="64">
        <f>SUM(D136:D140)</f>
        <v>7290.55</v>
      </c>
      <c r="E141" s="22"/>
      <c r="F141" s="9">
        <f>F136</f>
        <v>0</v>
      </c>
      <c r="G141" s="41"/>
      <c r="H141" s="8">
        <f>SUM(H136:H140)</f>
        <v>0</v>
      </c>
      <c r="I141" s="8"/>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row>
    <row r="142" spans="1:114" s="46" customFormat="1" ht="32.25" customHeight="1">
      <c r="A142" s="300" t="s">
        <v>53</v>
      </c>
      <c r="B142" s="261"/>
      <c r="C142" s="127" t="s">
        <v>105</v>
      </c>
      <c r="D142" s="122">
        <f>1974.78</f>
        <v>1974.78</v>
      </c>
      <c r="E142" s="105" t="s">
        <v>87</v>
      </c>
      <c r="F142" s="266"/>
      <c r="G142" s="268"/>
      <c r="H142" s="8"/>
      <c r="I142" s="8"/>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row>
    <row r="143" spans="1:114" s="46" customFormat="1" ht="21.75" customHeight="1">
      <c r="A143" s="301"/>
      <c r="B143" s="262"/>
      <c r="C143" s="130"/>
      <c r="D143" s="134"/>
      <c r="E143" s="122"/>
      <c r="F143" s="270"/>
      <c r="G143" s="271"/>
      <c r="H143" s="8"/>
      <c r="I143" s="8"/>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row>
    <row r="144" spans="1:114" s="46" customFormat="1" ht="19.5" customHeight="1">
      <c r="A144" s="301"/>
      <c r="B144" s="262"/>
      <c r="C144" s="130"/>
      <c r="D144" s="122"/>
      <c r="E144" s="106"/>
      <c r="F144" s="267"/>
      <c r="G144" s="269"/>
      <c r="H144" s="61"/>
      <c r="I144" s="8"/>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row>
    <row r="145" spans="1:114" s="46" customFormat="1" ht="21" customHeight="1">
      <c r="A145" s="31" t="s">
        <v>15</v>
      </c>
      <c r="B145" s="64">
        <f>SUM(B142)</f>
        <v>0</v>
      </c>
      <c r="C145" s="2"/>
      <c r="D145" s="64">
        <f>SUM(D142:D144)</f>
        <v>1974.78</v>
      </c>
      <c r="E145" s="22"/>
      <c r="F145" s="9">
        <f>F142</f>
        <v>0</v>
      </c>
      <c r="G145" s="41"/>
      <c r="H145" s="8">
        <f>SUM(H142:H144)</f>
        <v>0</v>
      </c>
      <c r="I145" s="8"/>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row>
    <row r="146" spans="1:114" s="46" customFormat="1" ht="21" customHeight="1">
      <c r="A146" s="300" t="s">
        <v>77</v>
      </c>
      <c r="B146" s="261"/>
      <c r="C146" s="19"/>
      <c r="D146" s="134"/>
      <c r="E146" s="122"/>
      <c r="F146" s="126"/>
      <c r="G146" s="119"/>
      <c r="H146" s="8"/>
      <c r="I146" s="8"/>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row>
    <row r="147" spans="1:114" s="46" customFormat="1" ht="24.75" customHeight="1">
      <c r="A147" s="301"/>
      <c r="B147" s="262"/>
      <c r="C147" s="147"/>
      <c r="D147" s="122"/>
      <c r="E147" s="135"/>
      <c r="F147" s="266"/>
      <c r="G147" s="268"/>
      <c r="H147" s="59"/>
      <c r="I147" s="94"/>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row>
    <row r="148" spans="1:114" s="46" customFormat="1" ht="20.25" customHeight="1">
      <c r="A148" s="301"/>
      <c r="B148" s="262"/>
      <c r="C148" s="147"/>
      <c r="D148" s="122"/>
      <c r="E148" s="106"/>
      <c r="F148" s="270"/>
      <c r="G148" s="271"/>
      <c r="H148" s="59"/>
      <c r="I148" s="94"/>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row>
    <row r="149" spans="1:114" s="46" customFormat="1" ht="20.25" customHeight="1">
      <c r="A149" s="302"/>
      <c r="B149" s="265"/>
      <c r="C149" s="147"/>
      <c r="D149" s="131"/>
      <c r="E149" s="109"/>
      <c r="F149" s="267"/>
      <c r="G149" s="269"/>
      <c r="H149" s="8"/>
      <c r="I149" s="8"/>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row>
    <row r="150" spans="1:114" s="46" customFormat="1" ht="19.5" customHeight="1">
      <c r="A150" s="31" t="s">
        <v>15</v>
      </c>
      <c r="B150" s="22">
        <f>SUM(B146)</f>
        <v>0</v>
      </c>
      <c r="C150" s="2"/>
      <c r="D150" s="23">
        <f>SUM(D146:D149)</f>
        <v>0</v>
      </c>
      <c r="E150" s="103"/>
      <c r="F150" s="9">
        <f>F147</f>
        <v>0</v>
      </c>
      <c r="G150" s="41"/>
      <c r="H150" s="8">
        <f>SUM(H147:H149)</f>
        <v>0</v>
      </c>
      <c r="I150" s="8"/>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row>
    <row r="151" spans="1:114" s="46" customFormat="1" ht="21" customHeight="1">
      <c r="A151" s="300" t="s">
        <v>38</v>
      </c>
      <c r="B151" s="261"/>
      <c r="C151" s="20"/>
      <c r="D151" s="59"/>
      <c r="E151" s="87"/>
      <c r="F151" s="266"/>
      <c r="G151" s="268"/>
      <c r="H151" s="57"/>
      <c r="I151" s="14"/>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row>
    <row r="152" spans="1:114" s="46" customFormat="1" ht="29.25" customHeight="1">
      <c r="A152" s="302"/>
      <c r="B152" s="265"/>
      <c r="C152" s="17"/>
      <c r="D152" s="83"/>
      <c r="E152" s="122"/>
      <c r="F152" s="267"/>
      <c r="G152" s="269"/>
      <c r="H152" s="8"/>
      <c r="I152" s="8"/>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row>
    <row r="153" spans="1:114" s="46" customFormat="1" ht="19.5" customHeight="1">
      <c r="A153" s="31" t="s">
        <v>15</v>
      </c>
      <c r="B153" s="22">
        <f>B151</f>
        <v>0</v>
      </c>
      <c r="C153" s="2"/>
      <c r="D153" s="23">
        <f>D151+D152</f>
        <v>0</v>
      </c>
      <c r="E153" s="59"/>
      <c r="F153" s="9">
        <f>F151</f>
        <v>0</v>
      </c>
      <c r="G153" s="41"/>
      <c r="H153" s="8">
        <f>SUM(H151:H152)</f>
        <v>0</v>
      </c>
      <c r="I153" s="8"/>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row>
    <row r="154" spans="1:114" s="46" customFormat="1" ht="30.75" customHeight="1">
      <c r="A154" s="300" t="s">
        <v>56</v>
      </c>
      <c r="B154" s="261"/>
      <c r="C154" s="128" t="s">
        <v>100</v>
      </c>
      <c r="D154" s="60">
        <f>5046.66+1974.78</f>
        <v>7021.44</v>
      </c>
      <c r="E154" s="105" t="s">
        <v>87</v>
      </c>
      <c r="F154" s="266"/>
      <c r="G154" s="274"/>
      <c r="H154" s="57"/>
      <c r="I154" s="14"/>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row>
    <row r="155" spans="1:114" s="46" customFormat="1" ht="33" customHeight="1">
      <c r="A155" s="302"/>
      <c r="B155" s="265"/>
      <c r="C155" s="114"/>
      <c r="D155" s="83"/>
      <c r="E155" s="59"/>
      <c r="F155" s="267"/>
      <c r="G155" s="276"/>
      <c r="H155" s="8"/>
      <c r="I155" s="8"/>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row>
    <row r="156" spans="1:114" s="46" customFormat="1" ht="21.75" customHeight="1">
      <c r="A156" s="31" t="s">
        <v>15</v>
      </c>
      <c r="B156" s="22">
        <f>B154</f>
        <v>0</v>
      </c>
      <c r="C156" s="2"/>
      <c r="D156" s="23">
        <f>D155+D154</f>
        <v>7021.44</v>
      </c>
      <c r="E156" s="59"/>
      <c r="F156" s="9">
        <f>F154</f>
        <v>0</v>
      </c>
      <c r="G156" s="41"/>
      <c r="H156" s="8">
        <f>SUM(H154:H155)</f>
        <v>0</v>
      </c>
      <c r="I156" s="8"/>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row>
    <row r="157" spans="1:114" s="46" customFormat="1" ht="30.75" customHeight="1">
      <c r="A157" s="300" t="s">
        <v>78</v>
      </c>
      <c r="B157" s="261"/>
      <c r="C157" s="127" t="s">
        <v>81</v>
      </c>
      <c r="D157" s="144">
        <v>673.92</v>
      </c>
      <c r="E157" s="105" t="s">
        <v>91</v>
      </c>
      <c r="F157" s="126"/>
      <c r="G157" s="119"/>
      <c r="H157" s="8"/>
      <c r="I157" s="8"/>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row>
    <row r="158" spans="1:114" s="46" customFormat="1" ht="30.75" customHeight="1">
      <c r="A158" s="301"/>
      <c r="B158" s="262"/>
      <c r="C158" s="128" t="s">
        <v>81</v>
      </c>
      <c r="D158" s="109">
        <v>2560.9</v>
      </c>
      <c r="E158" s="59" t="s">
        <v>92</v>
      </c>
      <c r="F158" s="126"/>
      <c r="G158" s="119"/>
      <c r="H158" s="8"/>
      <c r="I158" s="8"/>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row>
    <row r="159" spans="1:114" s="46" customFormat="1" ht="54" customHeight="1">
      <c r="A159" s="301"/>
      <c r="B159" s="262"/>
      <c r="C159" s="136" t="s">
        <v>93</v>
      </c>
      <c r="D159" s="131">
        <v>165000</v>
      </c>
      <c r="E159" s="135" t="s">
        <v>97</v>
      </c>
      <c r="F159" s="126"/>
      <c r="G159" s="119"/>
      <c r="H159" s="8"/>
      <c r="I159" s="8"/>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row>
    <row r="160" spans="1:114" s="46" customFormat="1" ht="27.75" customHeight="1">
      <c r="A160" s="301"/>
      <c r="B160" s="262"/>
      <c r="C160" s="128" t="s">
        <v>101</v>
      </c>
      <c r="D160" s="148">
        <f>26825+2729.6+1974.78</f>
        <v>31529.379999999997</v>
      </c>
      <c r="E160" s="105" t="s">
        <v>87</v>
      </c>
      <c r="F160" s="266"/>
      <c r="G160" s="268"/>
      <c r="H160" s="59"/>
      <c r="I160" s="94"/>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row>
    <row r="161" spans="1:114" s="46" customFormat="1" ht="22.5" customHeight="1">
      <c r="A161" s="301"/>
      <c r="B161" s="262"/>
      <c r="C161" s="127"/>
      <c r="D161" s="122"/>
      <c r="E161" s="105"/>
      <c r="F161" s="270"/>
      <c r="G161" s="271"/>
      <c r="H161" s="59"/>
      <c r="I161" s="94"/>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row>
    <row r="162" spans="1:114" s="46" customFormat="1" ht="15.75">
      <c r="A162" s="302"/>
      <c r="B162" s="265"/>
      <c r="C162" s="121"/>
      <c r="D162" s="122"/>
      <c r="E162" s="105"/>
      <c r="F162" s="267"/>
      <c r="G162" s="269"/>
      <c r="H162" s="8"/>
      <c r="I162" s="8"/>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row>
    <row r="163" spans="1:114" s="46" customFormat="1" ht="19.5" customHeight="1">
      <c r="A163" s="31" t="s">
        <v>15</v>
      </c>
      <c r="B163" s="22">
        <f>SUM(B157)</f>
        <v>0</v>
      </c>
      <c r="C163" s="2"/>
      <c r="D163" s="23">
        <f>SUM(D157:D162)</f>
        <v>199764.2</v>
      </c>
      <c r="E163" s="59"/>
      <c r="F163" s="9">
        <f>F160</f>
        <v>0</v>
      </c>
      <c r="G163" s="41"/>
      <c r="H163" s="8">
        <f>SUM(H160:H162)</f>
        <v>0</v>
      </c>
      <c r="I163" s="8"/>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row>
    <row r="164" spans="1:114" s="46" customFormat="1" ht="20.25" customHeight="1" hidden="1">
      <c r="A164" s="300" t="s">
        <v>39</v>
      </c>
      <c r="B164" s="261"/>
      <c r="C164" s="272"/>
      <c r="D164" s="83"/>
      <c r="E164" s="16"/>
      <c r="F164" s="266"/>
      <c r="G164" s="268"/>
      <c r="H164" s="57"/>
      <c r="I164" s="14"/>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row>
    <row r="165" spans="1:114" s="46" customFormat="1" ht="0.75" customHeight="1" hidden="1">
      <c r="A165" s="301"/>
      <c r="B165" s="262"/>
      <c r="C165" s="273"/>
      <c r="D165" s="88"/>
      <c r="E165" s="88"/>
      <c r="F165" s="270"/>
      <c r="G165" s="271"/>
      <c r="H165" s="8"/>
      <c r="I165" s="8"/>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row>
    <row r="166" spans="1:114" s="46" customFormat="1" ht="20.25" customHeight="1" hidden="1">
      <c r="A166" s="302"/>
      <c r="B166" s="265"/>
      <c r="C166" s="17"/>
      <c r="D166" s="59"/>
      <c r="E166" s="78"/>
      <c r="F166" s="267"/>
      <c r="G166" s="269"/>
      <c r="H166" s="8"/>
      <c r="I166" s="8"/>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row>
    <row r="167" spans="1:114" s="46" customFormat="1" ht="19.5" customHeight="1" hidden="1">
      <c r="A167" s="31" t="s">
        <v>15</v>
      </c>
      <c r="B167" s="22">
        <f>SUM(B164)</f>
        <v>0</v>
      </c>
      <c r="C167" s="2"/>
      <c r="D167" s="23">
        <f>SUM(D164:D166)</f>
        <v>0</v>
      </c>
      <c r="E167" s="59"/>
      <c r="F167" s="9">
        <f>F164</f>
        <v>0</v>
      </c>
      <c r="G167" s="41"/>
      <c r="H167" s="8">
        <f>SUM(H164:H166)</f>
        <v>0</v>
      </c>
      <c r="I167" s="8"/>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row>
    <row r="168" spans="1:114" s="46" customFormat="1" ht="39.75" customHeight="1">
      <c r="A168" s="300" t="s">
        <v>40</v>
      </c>
      <c r="B168" s="261"/>
      <c r="C168" s="127" t="s">
        <v>81</v>
      </c>
      <c r="D168" s="144">
        <v>673.92</v>
      </c>
      <c r="E168" s="105" t="s">
        <v>91</v>
      </c>
      <c r="F168" s="126"/>
      <c r="G168" s="119"/>
      <c r="H168" s="8"/>
      <c r="I168" s="8"/>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row>
    <row r="169" spans="1:114" s="46" customFormat="1" ht="29.25" customHeight="1">
      <c r="A169" s="301"/>
      <c r="B169" s="262"/>
      <c r="C169" s="128" t="s">
        <v>81</v>
      </c>
      <c r="D169" s="109">
        <v>1920.47</v>
      </c>
      <c r="E169" s="59" t="s">
        <v>92</v>
      </c>
      <c r="F169" s="126"/>
      <c r="G169" s="119"/>
      <c r="H169" s="8"/>
      <c r="I169" s="8"/>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row>
    <row r="170" spans="1:114" s="46" customFormat="1" ht="61.5" customHeight="1">
      <c r="A170" s="301"/>
      <c r="B170" s="262"/>
      <c r="C170" s="136" t="s">
        <v>93</v>
      </c>
      <c r="D170" s="131">
        <v>165000</v>
      </c>
      <c r="E170" s="135" t="s">
        <v>97</v>
      </c>
      <c r="F170" s="266"/>
      <c r="G170" s="268"/>
      <c r="H170" s="57"/>
      <c r="I170" s="14"/>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row>
    <row r="171" spans="1:114" s="46" customFormat="1" ht="33.75" customHeight="1">
      <c r="A171" s="301"/>
      <c r="B171" s="262"/>
      <c r="C171" s="128" t="s">
        <v>101</v>
      </c>
      <c r="D171" s="148">
        <f>26825+2729.6+1974.78</f>
        <v>31529.379999999997</v>
      </c>
      <c r="E171" s="105" t="s">
        <v>87</v>
      </c>
      <c r="F171" s="270"/>
      <c r="G171" s="271"/>
      <c r="H171" s="57"/>
      <c r="I171" s="14"/>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row>
    <row r="172" spans="1:114" s="46" customFormat="1" ht="22.5" customHeight="1">
      <c r="A172" s="301"/>
      <c r="B172" s="262"/>
      <c r="C172" s="127"/>
      <c r="D172" s="122"/>
      <c r="E172" s="105"/>
      <c r="F172" s="270"/>
      <c r="G172" s="271"/>
      <c r="H172" s="57"/>
      <c r="I172" s="14"/>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row>
    <row r="173" spans="1:114" s="46" customFormat="1" ht="32.25" customHeight="1">
      <c r="A173" s="301"/>
      <c r="B173" s="262"/>
      <c r="C173" s="129"/>
      <c r="D173" s="131"/>
      <c r="E173" s="132"/>
      <c r="F173" s="270"/>
      <c r="G173" s="271"/>
      <c r="H173" s="57"/>
      <c r="I173" s="14"/>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row>
    <row r="174" spans="1:114" s="46" customFormat="1" ht="37.5" customHeight="1">
      <c r="A174" s="302"/>
      <c r="B174" s="265"/>
      <c r="C174" s="127"/>
      <c r="D174" s="122"/>
      <c r="E174" s="109"/>
      <c r="F174" s="267"/>
      <c r="G174" s="269"/>
      <c r="H174" s="8"/>
      <c r="I174" s="8"/>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row>
    <row r="175" spans="1:114" s="46" customFormat="1" ht="21" customHeight="1">
      <c r="A175" s="31" t="s">
        <v>15</v>
      </c>
      <c r="B175" s="22">
        <f>SUM(B168)</f>
        <v>0</v>
      </c>
      <c r="C175" s="2"/>
      <c r="D175" s="23">
        <f>SUM(D168:D174)</f>
        <v>199123.77000000002</v>
      </c>
      <c r="E175" s="103"/>
      <c r="F175" s="9">
        <f>F170</f>
        <v>0</v>
      </c>
      <c r="G175" s="41"/>
      <c r="H175" s="8">
        <f>SUM(H170:H174)</f>
        <v>0</v>
      </c>
      <c r="I175" s="8"/>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row>
    <row r="176" spans="1:114" s="46" customFormat="1" ht="27.75" customHeight="1">
      <c r="A176" s="300" t="s">
        <v>31</v>
      </c>
      <c r="B176" s="261"/>
      <c r="C176" s="17"/>
      <c r="D176" s="59"/>
      <c r="E176" s="78"/>
      <c r="F176" s="266"/>
      <c r="G176" s="268"/>
      <c r="H176" s="57"/>
      <c r="I176" s="14"/>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row>
    <row r="177" spans="1:114" s="46" customFormat="1" ht="18" customHeight="1">
      <c r="A177" s="302"/>
      <c r="B177" s="265"/>
      <c r="C177" s="97"/>
      <c r="D177" s="59"/>
      <c r="E177" s="122"/>
      <c r="F177" s="267"/>
      <c r="G177" s="269"/>
      <c r="H177" s="8"/>
      <c r="I177" s="8"/>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row>
    <row r="178" spans="1:114" s="46" customFormat="1" ht="18.75" customHeight="1">
      <c r="A178" s="31" t="s">
        <v>15</v>
      </c>
      <c r="B178" s="22">
        <f>B176</f>
        <v>0</v>
      </c>
      <c r="C178" s="2"/>
      <c r="D178" s="23">
        <f>SUM(D176:D177)</f>
        <v>0</v>
      </c>
      <c r="E178" s="22"/>
      <c r="F178" s="9">
        <f>F176</f>
        <v>0</v>
      </c>
      <c r="G178" s="41"/>
      <c r="H178" s="8">
        <f>SUM(H176:H177)</f>
        <v>0</v>
      </c>
      <c r="I178" s="8"/>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row>
    <row r="179" spans="1:114" s="46" customFormat="1" ht="39.75" customHeight="1">
      <c r="A179" s="300" t="s">
        <v>41</v>
      </c>
      <c r="B179" s="261"/>
      <c r="C179" s="17" t="s">
        <v>100</v>
      </c>
      <c r="D179" s="59">
        <f>5046.66+1974.78</f>
        <v>7021.44</v>
      </c>
      <c r="E179" s="105" t="s">
        <v>87</v>
      </c>
      <c r="F179" s="266"/>
      <c r="G179" s="268"/>
      <c r="H179" s="8"/>
      <c r="I179" s="8"/>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row>
    <row r="180" spans="1:114" s="46" customFormat="1" ht="27" customHeight="1">
      <c r="A180" s="301"/>
      <c r="B180" s="262"/>
      <c r="C180" s="128" t="s">
        <v>109</v>
      </c>
      <c r="D180" s="109">
        <f>6420</f>
        <v>6420</v>
      </c>
      <c r="E180" s="105" t="s">
        <v>108</v>
      </c>
      <c r="F180" s="270"/>
      <c r="G180" s="271"/>
      <c r="H180" s="8"/>
      <c r="I180" s="8"/>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row>
    <row r="181" spans="1:114" s="46" customFormat="1" ht="27" customHeight="1">
      <c r="A181" s="301"/>
      <c r="B181" s="262"/>
      <c r="C181" s="129"/>
      <c r="D181" s="109"/>
      <c r="E181" s="122"/>
      <c r="F181" s="270"/>
      <c r="G181" s="271"/>
      <c r="H181" s="8"/>
      <c r="I181" s="8"/>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row>
    <row r="182" spans="1:114" s="46" customFormat="1" ht="31.5" customHeight="1">
      <c r="A182" s="302"/>
      <c r="B182" s="265"/>
      <c r="C182" s="17"/>
      <c r="D182" s="82"/>
      <c r="E182" s="78"/>
      <c r="F182" s="267"/>
      <c r="G182" s="269"/>
      <c r="H182" s="59"/>
      <c r="I182" s="96"/>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row>
    <row r="183" spans="1:114" s="46" customFormat="1" ht="23.25" customHeight="1">
      <c r="A183" s="31" t="s">
        <v>15</v>
      </c>
      <c r="B183" s="22">
        <f>B179</f>
        <v>0</v>
      </c>
      <c r="C183" s="2"/>
      <c r="D183" s="23">
        <f>SUM(D179:D182)</f>
        <v>13441.439999999999</v>
      </c>
      <c r="E183" s="103"/>
      <c r="F183" s="9">
        <f>F179</f>
        <v>0</v>
      </c>
      <c r="G183" s="41"/>
      <c r="H183" s="8">
        <f>SUM(H179:H182)</f>
        <v>0</v>
      </c>
      <c r="I183" s="8"/>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row>
    <row r="184" spans="1:114" s="46" customFormat="1" ht="38.25" customHeight="1">
      <c r="A184" s="268" t="s">
        <v>79</v>
      </c>
      <c r="B184" s="256"/>
      <c r="C184" s="21" t="s">
        <v>85</v>
      </c>
      <c r="D184" s="60">
        <v>413673.75</v>
      </c>
      <c r="E184" s="125" t="s">
        <v>86</v>
      </c>
      <c r="F184" s="9"/>
      <c r="G184" s="41"/>
      <c r="H184" s="8"/>
      <c r="I184" s="8"/>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row>
    <row r="185" spans="1:114" s="46" customFormat="1" ht="29.25" customHeight="1">
      <c r="A185" s="271"/>
      <c r="B185" s="264"/>
      <c r="C185" s="21"/>
      <c r="D185" s="60"/>
      <c r="E185" s="103"/>
      <c r="F185" s="9"/>
      <c r="G185" s="41"/>
      <c r="H185" s="8"/>
      <c r="I185" s="8"/>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row>
    <row r="186" spans="1:114" s="46" customFormat="1" ht="54" customHeight="1">
      <c r="A186" s="269"/>
      <c r="B186" s="257"/>
      <c r="C186" s="21"/>
      <c r="D186" s="60"/>
      <c r="E186" s="59"/>
      <c r="F186" s="12"/>
      <c r="G186" s="41"/>
      <c r="H186" s="5"/>
      <c r="I186" s="14"/>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row>
    <row r="187" spans="1:114" s="46" customFormat="1" ht="23.25" customHeight="1">
      <c r="A187" s="31" t="s">
        <v>15</v>
      </c>
      <c r="B187" s="22">
        <v>0</v>
      </c>
      <c r="C187" s="2"/>
      <c r="D187" s="23">
        <f>SUM(D184:D186)</f>
        <v>413673.75</v>
      </c>
      <c r="E187" s="22"/>
      <c r="F187" s="9">
        <v>0</v>
      </c>
      <c r="G187" s="41"/>
      <c r="H187" s="50">
        <f>SUM(H186)</f>
        <v>0</v>
      </c>
      <c r="I187" s="8"/>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row>
    <row r="188" spans="1:114" s="46" customFormat="1" ht="31.5" customHeight="1">
      <c r="A188" s="300" t="s">
        <v>47</v>
      </c>
      <c r="B188" s="261"/>
      <c r="C188" s="17" t="s">
        <v>98</v>
      </c>
      <c r="D188" s="82">
        <f>5046.66</f>
        <v>5046.66</v>
      </c>
      <c r="E188" s="105" t="s">
        <v>87</v>
      </c>
      <c r="F188" s="6"/>
      <c r="G188" s="41"/>
      <c r="H188" s="57"/>
      <c r="I188" s="14"/>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row>
    <row r="189" spans="1:114" s="46" customFormat="1" ht="31.5" customHeight="1">
      <c r="A189" s="301"/>
      <c r="B189" s="262"/>
      <c r="C189" s="17"/>
      <c r="D189" s="82"/>
      <c r="E189" s="122"/>
      <c r="F189" s="6"/>
      <c r="G189" s="41"/>
      <c r="H189" s="57"/>
      <c r="I189" s="14"/>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row>
    <row r="190" spans="1:114" s="46" customFormat="1" ht="35.25" customHeight="1">
      <c r="A190" s="302"/>
      <c r="B190" s="265"/>
      <c r="C190" s="127"/>
      <c r="D190" s="82"/>
      <c r="E190" s="16"/>
      <c r="F190" s="6"/>
      <c r="G190" s="41"/>
      <c r="H190" s="57"/>
      <c r="I190" s="14"/>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row>
    <row r="191" spans="1:114" s="46" customFormat="1" ht="24.75" customHeight="1">
      <c r="A191" s="31" t="s">
        <v>15</v>
      </c>
      <c r="B191" s="22">
        <f>B188</f>
        <v>0</v>
      </c>
      <c r="C191" s="2"/>
      <c r="D191" s="23">
        <f>SUM(D188:D190)</f>
        <v>5046.66</v>
      </c>
      <c r="E191" s="22"/>
      <c r="F191" s="9"/>
      <c r="G191" s="41"/>
      <c r="H191" s="8">
        <f>H188</f>
        <v>0</v>
      </c>
      <c r="I191" s="8"/>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row>
    <row r="192" spans="1:114" s="46" customFormat="1" ht="24.75" customHeight="1">
      <c r="A192" s="300" t="s">
        <v>36</v>
      </c>
      <c r="B192" s="256"/>
      <c r="C192" s="21"/>
      <c r="D192" s="60"/>
      <c r="E192" s="122"/>
      <c r="F192" s="9"/>
      <c r="G192" s="41"/>
      <c r="H192" s="8"/>
      <c r="I192" s="8"/>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row>
    <row r="193" spans="1:114" s="46" customFormat="1" ht="46.5" customHeight="1">
      <c r="A193" s="302"/>
      <c r="B193" s="257"/>
      <c r="C193" s="17"/>
      <c r="D193" s="82"/>
      <c r="E193" s="16"/>
      <c r="F193" s="6"/>
      <c r="G193" s="41"/>
      <c r="H193" s="57"/>
      <c r="I193" s="14"/>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row>
    <row r="194" spans="1:114" s="46" customFormat="1" ht="20.25" customHeight="1">
      <c r="A194" s="31" t="s">
        <v>15</v>
      </c>
      <c r="B194" s="22">
        <f>B193</f>
        <v>0</v>
      </c>
      <c r="C194" s="2"/>
      <c r="D194" s="23">
        <f>SUM(D192:D193)</f>
        <v>0</v>
      </c>
      <c r="E194" s="22"/>
      <c r="F194" s="9"/>
      <c r="G194" s="41"/>
      <c r="H194" s="8">
        <f>H193</f>
        <v>0</v>
      </c>
      <c r="I194" s="8"/>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row>
    <row r="195" spans="1:114" s="46" customFormat="1" ht="20.25" customHeight="1">
      <c r="A195" s="300" t="s">
        <v>43</v>
      </c>
      <c r="B195" s="256"/>
      <c r="C195" s="21"/>
      <c r="D195" s="60"/>
      <c r="E195" s="122"/>
      <c r="F195" s="9"/>
      <c r="G195" s="41"/>
      <c r="H195" s="8"/>
      <c r="I195" s="8"/>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row>
    <row r="196" spans="1:114" s="46" customFormat="1" ht="30.75" customHeight="1">
      <c r="A196" s="302"/>
      <c r="B196" s="257"/>
      <c r="C196" s="17"/>
      <c r="D196" s="83"/>
      <c r="E196" s="16"/>
      <c r="F196" s="6"/>
      <c r="G196" s="41"/>
      <c r="H196" s="57"/>
      <c r="I196" s="14"/>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row>
    <row r="197" spans="1:114" s="46" customFormat="1" ht="23.25" customHeight="1">
      <c r="A197" s="31" t="s">
        <v>15</v>
      </c>
      <c r="B197" s="22">
        <f>B196</f>
        <v>0</v>
      </c>
      <c r="C197" s="2"/>
      <c r="D197" s="23">
        <f>SUM(D195:D196)</f>
        <v>0</v>
      </c>
      <c r="E197" s="22"/>
      <c r="F197" s="9"/>
      <c r="G197" s="41"/>
      <c r="H197" s="8">
        <f>H196</f>
        <v>0</v>
      </c>
      <c r="I197" s="8"/>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row>
    <row r="198" spans="1:114" s="46" customFormat="1" ht="30.75" customHeight="1">
      <c r="A198" s="268" t="s">
        <v>52</v>
      </c>
      <c r="B198" s="256"/>
      <c r="C198" s="21" t="s">
        <v>98</v>
      </c>
      <c r="D198" s="60">
        <f>5046.66</f>
        <v>5046.66</v>
      </c>
      <c r="E198" s="105" t="s">
        <v>87</v>
      </c>
      <c r="F198" s="9"/>
      <c r="G198" s="41"/>
      <c r="H198" s="8"/>
      <c r="I198" s="8"/>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row>
    <row r="199" spans="1:114" s="46" customFormat="1" ht="36" customHeight="1">
      <c r="A199" s="269"/>
      <c r="B199" s="257"/>
      <c r="C199" s="2"/>
      <c r="D199" s="82"/>
      <c r="E199" s="16"/>
      <c r="F199" s="9"/>
      <c r="G199" s="41"/>
      <c r="H199" s="57"/>
      <c r="I199" s="14"/>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row>
    <row r="200" spans="1:114" s="46" customFormat="1" ht="29.25" customHeight="1">
      <c r="A200" s="31" t="s">
        <v>15</v>
      </c>
      <c r="B200" s="22">
        <f>B199</f>
        <v>0</v>
      </c>
      <c r="C200" s="2"/>
      <c r="D200" s="23">
        <f>SUM(D198:D199)</f>
        <v>5046.66</v>
      </c>
      <c r="E200" s="22"/>
      <c r="F200" s="9"/>
      <c r="G200" s="41"/>
      <c r="H200" s="8">
        <f>H199</f>
        <v>0</v>
      </c>
      <c r="I200" s="8"/>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row>
    <row r="201" spans="1:114" s="46" customFormat="1" ht="39.75" customHeight="1">
      <c r="A201" s="7" t="s">
        <v>50</v>
      </c>
      <c r="B201" s="59"/>
      <c r="C201" s="21" t="s">
        <v>96</v>
      </c>
      <c r="D201" s="148">
        <v>85840</v>
      </c>
      <c r="E201" s="105" t="s">
        <v>87</v>
      </c>
      <c r="F201" s="6"/>
      <c r="G201" s="41"/>
      <c r="H201" s="57"/>
      <c r="I201" s="14"/>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row>
    <row r="202" spans="1:114" s="46" customFormat="1" ht="24.75" customHeight="1">
      <c r="A202" s="31" t="s">
        <v>15</v>
      </c>
      <c r="B202" s="22">
        <f>SUM(B201)</f>
        <v>0</v>
      </c>
      <c r="C202" s="2"/>
      <c r="D202" s="23">
        <f>D201</f>
        <v>85840</v>
      </c>
      <c r="E202" s="22"/>
      <c r="F202" s="9"/>
      <c r="G202" s="41"/>
      <c r="H202" s="8">
        <f>H201</f>
        <v>0</v>
      </c>
      <c r="I202" s="8"/>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row>
    <row r="203" spans="1:114" s="46" customFormat="1" ht="27.75" customHeight="1">
      <c r="A203" s="7" t="s">
        <v>42</v>
      </c>
      <c r="B203" s="59"/>
      <c r="C203" s="17"/>
      <c r="D203" s="83"/>
      <c r="E203" s="16"/>
      <c r="F203" s="6"/>
      <c r="G203" s="41"/>
      <c r="H203" s="57"/>
      <c r="I203" s="14"/>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row>
    <row r="204" spans="1:114" s="46" customFormat="1" ht="23.25" customHeight="1">
      <c r="A204" s="31" t="s">
        <v>15</v>
      </c>
      <c r="B204" s="22">
        <f>B203</f>
        <v>0</v>
      </c>
      <c r="C204" s="2"/>
      <c r="D204" s="23">
        <f>D203</f>
        <v>0</v>
      </c>
      <c r="E204" s="22"/>
      <c r="F204" s="9"/>
      <c r="G204" s="41"/>
      <c r="H204" s="8">
        <f>H203</f>
        <v>0</v>
      </c>
      <c r="I204" s="8"/>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row>
    <row r="205" spans="1:114" s="46" customFormat="1" ht="24" customHeight="1">
      <c r="A205" s="300" t="s">
        <v>48</v>
      </c>
      <c r="B205" s="261"/>
      <c r="C205" s="303"/>
      <c r="D205" s="83"/>
      <c r="E205" s="16"/>
      <c r="F205" s="6"/>
      <c r="G205" s="41"/>
      <c r="H205" s="57"/>
      <c r="I205" s="14"/>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row>
    <row r="206" spans="1:114" s="46" customFormat="1" ht="19.5" customHeight="1">
      <c r="A206" s="301"/>
      <c r="B206" s="262"/>
      <c r="C206" s="304"/>
      <c r="D206" s="59"/>
      <c r="E206" s="74"/>
      <c r="F206" s="6"/>
      <c r="G206" s="41"/>
      <c r="H206" s="8"/>
      <c r="I206" s="8"/>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row>
    <row r="207" spans="1:114" s="46" customFormat="1" ht="24" customHeight="1">
      <c r="A207" s="65" t="s">
        <v>15</v>
      </c>
      <c r="B207" s="22">
        <f>B205</f>
        <v>0</v>
      </c>
      <c r="C207" s="305"/>
      <c r="D207" s="22">
        <f>D205+D206</f>
        <v>0</v>
      </c>
      <c r="E207" s="85"/>
      <c r="F207" s="6"/>
      <c r="G207" s="41"/>
      <c r="H207" s="8">
        <f>H205+H206</f>
        <v>0</v>
      </c>
      <c r="I207" s="8"/>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row>
    <row r="208" spans="1:114" s="46" customFormat="1" ht="39" customHeight="1">
      <c r="A208" s="7" t="s">
        <v>51</v>
      </c>
      <c r="B208" s="59"/>
      <c r="C208" s="17"/>
      <c r="D208" s="82"/>
      <c r="E208" s="16"/>
      <c r="F208" s="6"/>
      <c r="G208" s="41"/>
      <c r="H208" s="5"/>
      <c r="I208" s="14"/>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row>
    <row r="209" spans="1:114" s="46" customFormat="1" ht="24.75" customHeight="1" thickBot="1">
      <c r="A209" s="31" t="s">
        <v>15</v>
      </c>
      <c r="B209" s="39">
        <f>B208</f>
        <v>0</v>
      </c>
      <c r="C209" s="2"/>
      <c r="D209" s="89">
        <f>D208</f>
        <v>0</v>
      </c>
      <c r="E209" s="22"/>
      <c r="F209" s="9"/>
      <c r="G209" s="41"/>
      <c r="H209" s="50">
        <f>H208</f>
        <v>0</v>
      </c>
      <c r="I209" s="8"/>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row>
    <row r="210" spans="1:114" s="67" customFormat="1" ht="60.75" customHeight="1" thickBot="1">
      <c r="A210" s="53" t="s">
        <v>57</v>
      </c>
      <c r="B210" s="22">
        <f>SUM(B200+B69+B72+B81+B85+B88+B92+B101+B117+B120+B127+B135+B141+B207+B145+B150+B153+B156+B163+B167+B175+B178+B183+B191+B194+B197+B202+B204+B209)</f>
        <v>3037.16</v>
      </c>
      <c r="C210" s="22"/>
      <c r="D210" s="101">
        <f>SUM(D200+D69+D72+D81+D85+D207+D88+D92+D101+D117+D120+D127+D135+D141+D145+D150+D153+D156+D163+D167+D175+D178+D183+D191+D194+D197+D202+D204+D209+D187)</f>
        <v>1605051.15</v>
      </c>
      <c r="E210" s="22">
        <f>SUM(E200+E69+E72+E81+E85+E207+E88+E92+E101+E117+E120+E127+E135+E141+E145+E150+E153+E156+E163+E167+E175+E178+E183+E191+E194+E197+E202+E204+E209)</f>
        <v>0</v>
      </c>
      <c r="F210" s="22">
        <f>SUM(F200+F69+F72+F81+F85+F207+F88+F92+F101+F117+F120+F127+F135+F141+F145+F150+F153+F156+F163+F167+F175+F178+F183+F191+F194+F197+F202+F204+F209)</f>
        <v>0</v>
      </c>
      <c r="G210" s="22">
        <f>SUM(G200+G69+G72+G81+G85+G207+G88+G92+G101+G117+G120+G127+G135+G141+G145+G150+G153+G156+G163+G167+G175+G178+G183+G191+G194+G197+G202+G204+G209)</f>
        <v>0</v>
      </c>
      <c r="H210" s="22">
        <f>SUM(H200+H69+H72+H81+H85+H207+H88+H92+H101+H117+H120+H127+H135+H141+H145+H150+H153+H156+H163+H167+H175+H178+H183+H191+H194+H197+H202+H204+H209)+H187</f>
        <v>0</v>
      </c>
      <c r="I210" s="22">
        <f>SUM(I200+I69+I72+I81+I85+I207+I88+I92+I101+I117+I120+I127+I135+I141+I145+I150+I153+I156+I163+I167+I175+I178+I183+I191+I194+I197+I202+I204+I209)</f>
        <v>0</v>
      </c>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V210" s="66"/>
      <c r="BW210" s="66"/>
      <c r="BX210" s="66"/>
      <c r="BY210" s="66"/>
      <c r="BZ210" s="66"/>
      <c r="CA210" s="66"/>
      <c r="CB210" s="66"/>
      <c r="CC210" s="66"/>
      <c r="CD210" s="66"/>
      <c r="CE210" s="66"/>
      <c r="CF210" s="66"/>
      <c r="CG210" s="66"/>
      <c r="CH210" s="66"/>
      <c r="CI210" s="66"/>
      <c r="CJ210" s="66"/>
      <c r="CK210" s="66"/>
      <c r="CL210" s="66"/>
      <c r="CM210" s="66"/>
      <c r="CN210" s="66"/>
      <c r="CO210" s="66"/>
      <c r="CP210" s="66"/>
      <c r="CQ210" s="66"/>
      <c r="CR210" s="66"/>
      <c r="CS210" s="66"/>
      <c r="CT210" s="66"/>
      <c r="CU210" s="66"/>
      <c r="CV210" s="66"/>
      <c r="CW210" s="66"/>
      <c r="CX210" s="66"/>
      <c r="CY210" s="66"/>
      <c r="CZ210" s="66"/>
      <c r="DA210" s="66"/>
      <c r="DB210" s="66"/>
      <c r="DC210" s="66"/>
      <c r="DD210" s="66"/>
      <c r="DE210" s="66"/>
      <c r="DF210" s="66"/>
      <c r="DG210" s="66"/>
      <c r="DH210" s="66"/>
      <c r="DI210" s="66"/>
      <c r="DJ210" s="66"/>
    </row>
    <row r="211" spans="1:114" s="67" customFormat="1" ht="79.5" customHeight="1" thickBot="1">
      <c r="A211" s="31" t="s">
        <v>58</v>
      </c>
      <c r="B211" s="23">
        <f>SUM(B73+B210)</f>
        <v>50807.16</v>
      </c>
      <c r="C211" s="23"/>
      <c r="D211" s="23">
        <f aca="true" t="shared" si="0" ref="D211:I211">SUM(D73+D210)</f>
        <v>1605051.15</v>
      </c>
      <c r="E211" s="23">
        <f t="shared" si="0"/>
        <v>0</v>
      </c>
      <c r="F211" s="23">
        <f t="shared" si="0"/>
        <v>0</v>
      </c>
      <c r="G211" s="23">
        <f t="shared" si="0"/>
        <v>0</v>
      </c>
      <c r="H211" s="23">
        <f t="shared" si="0"/>
        <v>0</v>
      </c>
      <c r="I211" s="23">
        <f t="shared" si="0"/>
        <v>0</v>
      </c>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V211" s="66"/>
      <c r="BW211" s="66"/>
      <c r="BX211" s="66"/>
      <c r="BY211" s="66"/>
      <c r="BZ211" s="66"/>
      <c r="CA211" s="66"/>
      <c r="CB211" s="66"/>
      <c r="CC211" s="66"/>
      <c r="CD211" s="66"/>
      <c r="CE211" s="66"/>
      <c r="CF211" s="66"/>
      <c r="CG211" s="66"/>
      <c r="CH211" s="66"/>
      <c r="CI211" s="66"/>
      <c r="CJ211" s="66"/>
      <c r="CK211" s="66"/>
      <c r="CL211" s="66"/>
      <c r="CM211" s="66"/>
      <c r="CN211" s="66"/>
      <c r="CO211" s="66"/>
      <c r="CP211" s="66"/>
      <c r="CQ211" s="66"/>
      <c r="CR211" s="66"/>
      <c r="CS211" s="66"/>
      <c r="CT211" s="66"/>
      <c r="CU211" s="66"/>
      <c r="CV211" s="66"/>
      <c r="CW211" s="66"/>
      <c r="CX211" s="66"/>
      <c r="CY211" s="66"/>
      <c r="CZ211" s="66"/>
      <c r="DA211" s="66"/>
      <c r="DB211" s="66"/>
      <c r="DC211" s="66"/>
      <c r="DD211" s="66"/>
      <c r="DE211" s="66"/>
      <c r="DF211" s="66"/>
      <c r="DG211" s="66"/>
      <c r="DH211" s="66"/>
      <c r="DI211" s="66"/>
      <c r="DJ211" s="66"/>
    </row>
    <row r="212" spans="1:114" s="70" customFormat="1" ht="9.75" customHeight="1" hidden="1">
      <c r="A212" s="24"/>
      <c r="B212" s="68"/>
      <c r="C212" s="24"/>
      <c r="D212" s="90"/>
      <c r="E212" s="71"/>
      <c r="F212" s="69"/>
      <c r="G212" s="69"/>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row>
    <row r="213" spans="1:114" s="70" customFormat="1" ht="45" customHeight="1">
      <c r="A213" s="25" t="s">
        <v>59</v>
      </c>
      <c r="B213" s="71"/>
      <c r="C213" s="25"/>
      <c r="D213" s="90"/>
      <c r="E213" s="71" t="s">
        <v>24</v>
      </c>
      <c r="F213" s="69"/>
      <c r="G213" s="25" t="s">
        <v>61</v>
      </c>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row>
    <row r="214" spans="1:9" ht="20.25" customHeight="1">
      <c r="A214" s="24" t="s">
        <v>25</v>
      </c>
      <c r="B214" s="68"/>
      <c r="C214" s="26"/>
      <c r="D214" s="91"/>
      <c r="E214" s="95"/>
      <c r="F214" s="24"/>
      <c r="G214" s="24" t="s">
        <v>84</v>
      </c>
      <c r="H214" s="13"/>
      <c r="I214" s="13"/>
    </row>
    <row r="215" spans="1:10" ht="26.25" customHeight="1">
      <c r="A215" s="26" t="s">
        <v>62</v>
      </c>
      <c r="B215" s="26"/>
      <c r="C215" s="26"/>
      <c r="D215" s="90"/>
      <c r="E215" s="93"/>
      <c r="F215" s="72"/>
      <c r="G215" s="72"/>
      <c r="H215" s="13"/>
      <c r="I215" s="47"/>
      <c r="J215" s="13" t="s">
        <v>60</v>
      </c>
    </row>
    <row r="216" spans="1:9" ht="20.25" customHeight="1">
      <c r="A216" s="26"/>
      <c r="B216" s="26"/>
      <c r="C216" s="26"/>
      <c r="D216" s="90"/>
      <c r="E216" s="93"/>
      <c r="F216" s="72"/>
      <c r="G216" s="72"/>
      <c r="H216" s="13"/>
      <c r="I216" s="13"/>
    </row>
    <row r="217" spans="1:9" ht="12" customHeight="1">
      <c r="A217" s="13"/>
      <c r="B217" s="27"/>
      <c r="C217" s="27"/>
      <c r="D217" s="92"/>
      <c r="E217" s="27"/>
      <c r="F217" s="13"/>
      <c r="G217" s="13"/>
      <c r="H217" s="13"/>
      <c r="I217" s="13"/>
    </row>
    <row r="218" spans="1:9" ht="15.75">
      <c r="A218" s="13"/>
      <c r="B218" s="27"/>
      <c r="C218" s="27"/>
      <c r="D218" s="92"/>
      <c r="E218" s="27"/>
      <c r="F218" s="13"/>
      <c r="G218" s="13"/>
      <c r="H218" s="13"/>
      <c r="I218" s="13"/>
    </row>
    <row r="219" spans="1:9" ht="15.75">
      <c r="A219" s="13"/>
      <c r="B219" s="27"/>
      <c r="C219" s="27"/>
      <c r="D219" s="92"/>
      <c r="E219" s="27"/>
      <c r="F219" s="13"/>
      <c r="G219" s="13"/>
      <c r="H219" s="13"/>
      <c r="I219" s="13"/>
    </row>
  </sheetData>
  <sheetProtection/>
  <mergeCells count="149">
    <mergeCell ref="G4:I4"/>
    <mergeCell ref="A5:I5"/>
    <mergeCell ref="A6:I6"/>
    <mergeCell ref="A7:I7"/>
    <mergeCell ref="A8:A11"/>
    <mergeCell ref="B8:E8"/>
    <mergeCell ref="F8:I8"/>
    <mergeCell ref="B9:C10"/>
    <mergeCell ref="D9:E10"/>
    <mergeCell ref="F9:G10"/>
    <mergeCell ref="H9:I10"/>
    <mergeCell ref="A12:A13"/>
    <mergeCell ref="B12:B13"/>
    <mergeCell ref="C12:C13"/>
    <mergeCell ref="A15:A16"/>
    <mergeCell ref="B15:B16"/>
    <mergeCell ref="C15:C16"/>
    <mergeCell ref="A18:A20"/>
    <mergeCell ref="B18:B19"/>
    <mergeCell ref="A21:A22"/>
    <mergeCell ref="B21:B22"/>
    <mergeCell ref="A24:A25"/>
    <mergeCell ref="B24:B25"/>
    <mergeCell ref="A27:A29"/>
    <mergeCell ref="B27:B29"/>
    <mergeCell ref="F27:F28"/>
    <mergeCell ref="G27:G28"/>
    <mergeCell ref="H27:H28"/>
    <mergeCell ref="I27:I28"/>
    <mergeCell ref="A31:A32"/>
    <mergeCell ref="B31:B32"/>
    <mergeCell ref="A34:A36"/>
    <mergeCell ref="B34:B36"/>
    <mergeCell ref="C35:C36"/>
    <mergeCell ref="A38:A40"/>
    <mergeCell ref="B38:B40"/>
    <mergeCell ref="A58:A59"/>
    <mergeCell ref="B58:B59"/>
    <mergeCell ref="A42:A43"/>
    <mergeCell ref="B42:B43"/>
    <mergeCell ref="C42:C43"/>
    <mergeCell ref="A45:A46"/>
    <mergeCell ref="B45:B46"/>
    <mergeCell ref="A48:A50"/>
    <mergeCell ref="B48:B50"/>
    <mergeCell ref="C49:C50"/>
    <mergeCell ref="C61:C62"/>
    <mergeCell ref="A64:A65"/>
    <mergeCell ref="B64:B65"/>
    <mergeCell ref="A67:A68"/>
    <mergeCell ref="B67:B68"/>
    <mergeCell ref="A52:A53"/>
    <mergeCell ref="B52:B53"/>
    <mergeCell ref="C52:C53"/>
    <mergeCell ref="A55:A56"/>
    <mergeCell ref="B55:B56"/>
    <mergeCell ref="A70:A71"/>
    <mergeCell ref="B70:B71"/>
    <mergeCell ref="A74:A80"/>
    <mergeCell ref="B74:B80"/>
    <mergeCell ref="A61:A62"/>
    <mergeCell ref="B61:B62"/>
    <mergeCell ref="A82:A84"/>
    <mergeCell ref="B82:B84"/>
    <mergeCell ref="C82:C84"/>
    <mergeCell ref="F82:F84"/>
    <mergeCell ref="G82:G84"/>
    <mergeCell ref="A86:A87"/>
    <mergeCell ref="B86:B87"/>
    <mergeCell ref="F86:F87"/>
    <mergeCell ref="G86:G87"/>
    <mergeCell ref="A89:A91"/>
    <mergeCell ref="B89:B91"/>
    <mergeCell ref="F89:F91"/>
    <mergeCell ref="G89:G91"/>
    <mergeCell ref="A93:A100"/>
    <mergeCell ref="B93:B100"/>
    <mergeCell ref="F96:F100"/>
    <mergeCell ref="G96:G100"/>
    <mergeCell ref="A112:A116"/>
    <mergeCell ref="B112:B116"/>
    <mergeCell ref="F115:F116"/>
    <mergeCell ref="G115:G116"/>
    <mergeCell ref="A118:A119"/>
    <mergeCell ref="B118:B119"/>
    <mergeCell ref="F118:F119"/>
    <mergeCell ref="G118:G119"/>
    <mergeCell ref="A121:A126"/>
    <mergeCell ref="B121:B126"/>
    <mergeCell ref="F121:F126"/>
    <mergeCell ref="G121:G126"/>
    <mergeCell ref="A128:A134"/>
    <mergeCell ref="B128:B134"/>
    <mergeCell ref="F128:F134"/>
    <mergeCell ref="G128:G134"/>
    <mergeCell ref="A136:A140"/>
    <mergeCell ref="B136:B140"/>
    <mergeCell ref="F136:F140"/>
    <mergeCell ref="G136:G140"/>
    <mergeCell ref="A142:A144"/>
    <mergeCell ref="B142:B144"/>
    <mergeCell ref="F142:F144"/>
    <mergeCell ref="G142:G144"/>
    <mergeCell ref="A146:A149"/>
    <mergeCell ref="B146:B149"/>
    <mergeCell ref="F147:F149"/>
    <mergeCell ref="G147:G149"/>
    <mergeCell ref="A151:A152"/>
    <mergeCell ref="B151:B152"/>
    <mergeCell ref="F151:F152"/>
    <mergeCell ref="G151:G152"/>
    <mergeCell ref="A154:A155"/>
    <mergeCell ref="B154:B155"/>
    <mergeCell ref="F154:F155"/>
    <mergeCell ref="G154:G155"/>
    <mergeCell ref="A157:A162"/>
    <mergeCell ref="B157:B162"/>
    <mergeCell ref="F160:F162"/>
    <mergeCell ref="G160:G162"/>
    <mergeCell ref="A164:A166"/>
    <mergeCell ref="B164:B166"/>
    <mergeCell ref="C164:C165"/>
    <mergeCell ref="F164:F166"/>
    <mergeCell ref="G164:G166"/>
    <mergeCell ref="A168:A174"/>
    <mergeCell ref="B168:B174"/>
    <mergeCell ref="F170:F174"/>
    <mergeCell ref="G170:G174"/>
    <mergeCell ref="A176:A177"/>
    <mergeCell ref="B176:B177"/>
    <mergeCell ref="F176:F177"/>
    <mergeCell ref="G176:G177"/>
    <mergeCell ref="A179:A182"/>
    <mergeCell ref="B179:B182"/>
    <mergeCell ref="F179:F182"/>
    <mergeCell ref="G179:G182"/>
    <mergeCell ref="A184:A186"/>
    <mergeCell ref="B184:B186"/>
    <mergeCell ref="A188:A190"/>
    <mergeCell ref="B188:B190"/>
    <mergeCell ref="A192:A193"/>
    <mergeCell ref="B192:B193"/>
    <mergeCell ref="C205:C207"/>
    <mergeCell ref="A195:A196"/>
    <mergeCell ref="B195:B196"/>
    <mergeCell ref="A198:A199"/>
    <mergeCell ref="B198:B199"/>
    <mergeCell ref="A205:A206"/>
    <mergeCell ref="B205:B206"/>
  </mergeCells>
  <printOptions/>
  <pageMargins left="0.5118110236220472" right="0.31496062992125984" top="0.35433070866141736" bottom="0.35433070866141736" header="0.31496062992125984" footer="0.31496062992125984"/>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DJ220"/>
  <sheetViews>
    <sheetView zoomScale="90" zoomScaleNormal="90" zoomScalePageLayoutView="0" workbookViewId="0" topLeftCell="A10">
      <selection activeCell="A24" sqref="A1:IV16384"/>
    </sheetView>
  </sheetViews>
  <sheetFormatPr defaultColWidth="25.7109375" defaultRowHeight="15"/>
  <cols>
    <col min="1" max="1" width="14.28125" style="28" customWidth="1"/>
    <col min="2" max="2" width="10.28125" style="28" customWidth="1"/>
    <col min="3" max="3" width="39.00390625" style="28" customWidth="1"/>
    <col min="4" max="4" width="11.57421875" style="73" customWidth="1"/>
    <col min="5" max="5" width="19.140625" style="28" customWidth="1"/>
    <col min="6" max="6" width="7.421875" style="1" customWidth="1"/>
    <col min="7" max="7" width="7.28125" style="1" customWidth="1"/>
    <col min="8" max="8" width="9.28125" style="1" customWidth="1"/>
    <col min="9" max="9" width="9.140625" style="1" customWidth="1"/>
    <col min="10" max="114" width="25.7109375" style="13" customWidth="1"/>
    <col min="115" max="16384" width="25.7109375" style="1" customWidth="1"/>
  </cols>
  <sheetData>
    <row r="1" spans="3:9" ht="18" customHeight="1">
      <c r="C1" s="28" t="s">
        <v>24</v>
      </c>
      <c r="F1" s="29" t="s">
        <v>49</v>
      </c>
      <c r="I1" s="29"/>
    </row>
    <row r="2" spans="6:9" ht="18" customHeight="1">
      <c r="F2" s="29" t="s">
        <v>45</v>
      </c>
      <c r="I2" s="29"/>
    </row>
    <row r="3" spans="6:9" ht="16.5" customHeight="1">
      <c r="F3" s="29" t="s">
        <v>46</v>
      </c>
      <c r="I3" s="29"/>
    </row>
    <row r="4" spans="7:9" ht="15.75">
      <c r="G4" s="297"/>
      <c r="H4" s="297"/>
      <c r="I4" s="297"/>
    </row>
    <row r="5" spans="1:9" ht="15.75">
      <c r="A5" s="298" t="s">
        <v>19</v>
      </c>
      <c r="B5" s="298"/>
      <c r="C5" s="298"/>
      <c r="D5" s="298"/>
      <c r="E5" s="298"/>
      <c r="F5" s="298"/>
      <c r="G5" s="298"/>
      <c r="H5" s="298"/>
      <c r="I5" s="298"/>
    </row>
    <row r="6" spans="1:9" ht="15.75">
      <c r="A6" s="298" t="s">
        <v>147</v>
      </c>
      <c r="B6" s="298"/>
      <c r="C6" s="298"/>
      <c r="D6" s="298"/>
      <c r="E6" s="298"/>
      <c r="F6" s="298"/>
      <c r="G6" s="298"/>
      <c r="H6" s="298"/>
      <c r="I6" s="298"/>
    </row>
    <row r="7" spans="1:9" ht="26.25" customHeight="1">
      <c r="A7" s="298" t="s">
        <v>20</v>
      </c>
      <c r="B7" s="298"/>
      <c r="C7" s="298"/>
      <c r="D7" s="298"/>
      <c r="E7" s="298"/>
      <c r="F7" s="298"/>
      <c r="G7" s="298"/>
      <c r="H7" s="298"/>
      <c r="I7" s="298"/>
    </row>
    <row r="8" spans="1:10" ht="30" customHeight="1">
      <c r="A8" s="299" t="s">
        <v>21</v>
      </c>
      <c r="B8" s="294" t="s">
        <v>0</v>
      </c>
      <c r="C8" s="294"/>
      <c r="D8" s="294"/>
      <c r="E8" s="294"/>
      <c r="F8" s="294" t="s">
        <v>1</v>
      </c>
      <c r="G8" s="294"/>
      <c r="H8" s="294"/>
      <c r="I8" s="294"/>
      <c r="J8" s="36"/>
    </row>
    <row r="9" spans="1:10" ht="13.5" customHeight="1">
      <c r="A9" s="299"/>
      <c r="B9" s="299" t="s">
        <v>2</v>
      </c>
      <c r="C9" s="299"/>
      <c r="D9" s="299" t="s">
        <v>18</v>
      </c>
      <c r="E9" s="299"/>
      <c r="F9" s="294" t="s">
        <v>2</v>
      </c>
      <c r="G9" s="294"/>
      <c r="H9" s="294" t="s">
        <v>3</v>
      </c>
      <c r="I9" s="295"/>
      <c r="J9" s="36"/>
    </row>
    <row r="10" spans="1:10" ht="22.5" customHeight="1">
      <c r="A10" s="299"/>
      <c r="B10" s="299"/>
      <c r="C10" s="299"/>
      <c r="D10" s="299"/>
      <c r="E10" s="299"/>
      <c r="F10" s="294"/>
      <c r="G10" s="294"/>
      <c r="H10" s="295"/>
      <c r="I10" s="295"/>
      <c r="J10" s="36"/>
    </row>
    <row r="11" spans="1:10" ht="51" customHeight="1">
      <c r="A11" s="299"/>
      <c r="B11" s="16" t="s">
        <v>17</v>
      </c>
      <c r="C11" s="16" t="s">
        <v>4</v>
      </c>
      <c r="D11" s="16" t="s">
        <v>17</v>
      </c>
      <c r="E11" s="16" t="s">
        <v>5</v>
      </c>
      <c r="F11" s="14" t="s">
        <v>17</v>
      </c>
      <c r="G11" s="14" t="s">
        <v>4</v>
      </c>
      <c r="H11" s="14" t="s">
        <v>17</v>
      </c>
      <c r="I11" s="14" t="s">
        <v>6</v>
      </c>
      <c r="J11" s="36"/>
    </row>
    <row r="12" spans="1:10" ht="30.75" customHeight="1">
      <c r="A12" s="277" t="s">
        <v>63</v>
      </c>
      <c r="B12" s="296"/>
      <c r="C12" s="152" t="s">
        <v>164</v>
      </c>
      <c r="D12" s="59">
        <v>50998.33</v>
      </c>
      <c r="E12" s="105" t="s">
        <v>87</v>
      </c>
      <c r="F12" s="37"/>
      <c r="G12" s="32"/>
      <c r="H12" s="38"/>
      <c r="I12" s="15"/>
      <c r="J12" s="36"/>
    </row>
    <row r="13" spans="1:10" ht="15" customHeight="1">
      <c r="A13" s="277"/>
      <c r="B13" s="296"/>
      <c r="C13" s="152"/>
      <c r="D13" s="59"/>
      <c r="E13" s="105"/>
      <c r="F13" s="37"/>
      <c r="G13" s="32"/>
      <c r="H13" s="38"/>
      <c r="I13" s="30"/>
      <c r="J13" s="36"/>
    </row>
    <row r="14" spans="1:114" s="46" customFormat="1" ht="20.25" customHeight="1">
      <c r="A14" s="153" t="s">
        <v>14</v>
      </c>
      <c r="B14" s="39">
        <f>SUM(B12:B13)</f>
        <v>0</v>
      </c>
      <c r="C14" s="2"/>
      <c r="D14" s="75">
        <f>D13+D12</f>
        <v>50998.33</v>
      </c>
      <c r="E14" s="76"/>
      <c r="F14" s="40"/>
      <c r="G14" s="41"/>
      <c r="H14" s="42">
        <f>SUM(H12:H13)</f>
        <v>0</v>
      </c>
      <c r="I14" s="31"/>
      <c r="J14" s="43"/>
      <c r="K14" s="44"/>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row>
    <row r="15" spans="1:11" ht="33.75" customHeight="1">
      <c r="A15" s="277" t="s">
        <v>64</v>
      </c>
      <c r="B15" s="278"/>
      <c r="C15" s="152" t="s">
        <v>164</v>
      </c>
      <c r="D15" s="60">
        <v>50998.33</v>
      </c>
      <c r="E15" s="105" t="s">
        <v>87</v>
      </c>
      <c r="F15" s="37"/>
      <c r="G15" s="32"/>
      <c r="H15" s="30"/>
      <c r="I15" s="15"/>
      <c r="J15" s="36"/>
      <c r="K15" s="47"/>
    </row>
    <row r="16" spans="1:11" ht="13.5" customHeight="1">
      <c r="A16" s="277"/>
      <c r="B16" s="280"/>
      <c r="C16" s="116"/>
      <c r="D16" s="60"/>
      <c r="E16" s="59"/>
      <c r="F16" s="37"/>
      <c r="G16" s="32"/>
      <c r="H16" s="30"/>
      <c r="I16" s="30"/>
      <c r="J16" s="36"/>
      <c r="K16" s="47"/>
    </row>
    <row r="17" spans="1:114" s="46" customFormat="1" ht="22.5" customHeight="1">
      <c r="A17" s="153" t="s">
        <v>14</v>
      </c>
      <c r="B17" s="39">
        <f>SUM(B15)</f>
        <v>0</v>
      </c>
      <c r="C17" s="152"/>
      <c r="D17" s="64">
        <f>D16+D15</f>
        <v>50998.33</v>
      </c>
      <c r="E17" s="76"/>
      <c r="F17" s="40"/>
      <c r="G17" s="41"/>
      <c r="H17" s="31">
        <f>SUM(H15:H16)</f>
        <v>0</v>
      </c>
      <c r="I17" s="31"/>
      <c r="J17" s="43"/>
      <c r="K17" s="44"/>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row>
    <row r="18" spans="1:114" s="46" customFormat="1" ht="21" customHeight="1">
      <c r="A18" s="277" t="s">
        <v>65</v>
      </c>
      <c r="B18" s="278"/>
      <c r="C18" s="152"/>
      <c r="D18" s="16"/>
      <c r="E18" s="105"/>
      <c r="F18" s="40"/>
      <c r="G18" s="41"/>
      <c r="H18" s="30"/>
      <c r="I18" s="15"/>
      <c r="J18" s="43"/>
      <c r="K18" s="44"/>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row>
    <row r="19" spans="1:114" s="46" customFormat="1" ht="18.75" customHeight="1">
      <c r="A19" s="277"/>
      <c r="B19" s="280"/>
      <c r="C19" s="155"/>
      <c r="D19" s="16"/>
      <c r="E19" s="59"/>
      <c r="F19" s="40"/>
      <c r="G19" s="41"/>
      <c r="H19" s="30"/>
      <c r="I19" s="15"/>
      <c r="J19" s="43"/>
      <c r="K19" s="44"/>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row>
    <row r="20" spans="1:114" s="46" customFormat="1" ht="20.25" customHeight="1">
      <c r="A20" s="277"/>
      <c r="B20" s="39">
        <f>SUM(B18)</f>
        <v>0</v>
      </c>
      <c r="C20" s="116"/>
      <c r="D20" s="77">
        <f>SUM(D18:D19)</f>
        <v>0</v>
      </c>
      <c r="E20" s="76"/>
      <c r="F20" s="48">
        <f>F18</f>
        <v>0</v>
      </c>
      <c r="G20" s="41"/>
      <c r="H20" s="31">
        <f>SUM(H18:H18)</f>
        <v>0</v>
      </c>
      <c r="I20" s="31"/>
      <c r="J20" s="43"/>
      <c r="K20" s="4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row>
    <row r="21" spans="1:11" ht="28.5" customHeight="1">
      <c r="A21" s="254" t="s">
        <v>66</v>
      </c>
      <c r="B21" s="278"/>
      <c r="C21" s="156"/>
      <c r="D21" s="16"/>
      <c r="E21" s="74"/>
      <c r="F21" s="37"/>
      <c r="G21" s="32"/>
      <c r="H21" s="30"/>
      <c r="I21" s="15"/>
      <c r="J21" s="36"/>
      <c r="K21" s="47"/>
    </row>
    <row r="22" spans="1:11" ht="18.75" customHeight="1">
      <c r="A22" s="255"/>
      <c r="B22" s="280"/>
      <c r="C22" s="157"/>
      <c r="D22" s="143"/>
      <c r="E22" s="122"/>
      <c r="F22" s="37"/>
      <c r="G22" s="32"/>
      <c r="H22" s="30"/>
      <c r="I22" s="30"/>
      <c r="J22" s="36"/>
      <c r="K22" s="47"/>
    </row>
    <row r="23" spans="1:114" s="46" customFormat="1" ht="25.5" customHeight="1">
      <c r="A23" s="153" t="s">
        <v>15</v>
      </c>
      <c r="B23" s="39">
        <f>B21</f>
        <v>0</v>
      </c>
      <c r="C23" s="2"/>
      <c r="D23" s="79">
        <f>D22+D21</f>
        <v>0</v>
      </c>
      <c r="E23" s="80"/>
      <c r="F23" s="40"/>
      <c r="G23" s="41"/>
      <c r="H23" s="31">
        <f>SUM(H21:H22)</f>
        <v>0</v>
      </c>
      <c r="I23" s="31"/>
      <c r="J23" s="43"/>
      <c r="K23" s="44"/>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row>
    <row r="24" spans="1:114" s="46" customFormat="1" ht="32.25" customHeight="1">
      <c r="A24" s="254" t="s">
        <v>67</v>
      </c>
      <c r="B24" s="278"/>
      <c r="C24" s="152" t="s">
        <v>164</v>
      </c>
      <c r="D24" s="59">
        <v>50998.33</v>
      </c>
      <c r="E24" s="105" t="s">
        <v>87</v>
      </c>
      <c r="F24" s="40"/>
      <c r="G24" s="41"/>
      <c r="H24" s="30"/>
      <c r="I24" s="15"/>
      <c r="J24" s="43"/>
      <c r="K24" s="44"/>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row>
    <row r="25" spans="1:11" ht="21.75" customHeight="1">
      <c r="A25" s="255"/>
      <c r="B25" s="280"/>
      <c r="C25" s="116"/>
      <c r="D25" s="49"/>
      <c r="E25" s="59"/>
      <c r="F25" s="37"/>
      <c r="G25" s="32"/>
      <c r="H25" s="38"/>
      <c r="I25" s="32"/>
      <c r="J25" s="36"/>
      <c r="K25" s="47"/>
    </row>
    <row r="26" spans="1:114" s="46" customFormat="1" ht="19.5" customHeight="1">
      <c r="A26" s="153" t="s">
        <v>15</v>
      </c>
      <c r="B26" s="39">
        <f>B24</f>
        <v>0</v>
      </c>
      <c r="C26" s="152"/>
      <c r="D26" s="79">
        <f>SUM(D24:D25)</f>
        <v>50998.33</v>
      </c>
      <c r="E26" s="80"/>
      <c r="F26" s="40"/>
      <c r="G26" s="41"/>
      <c r="H26" s="42">
        <f>SUM(H24:H25)</f>
        <v>0</v>
      </c>
      <c r="I26" s="31"/>
      <c r="J26" s="43"/>
      <c r="K26" s="44"/>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row>
    <row r="27" spans="1:114" s="46" customFormat="1" ht="31.5" customHeight="1">
      <c r="A27" s="254" t="s">
        <v>68</v>
      </c>
      <c r="B27" s="278"/>
      <c r="C27" s="152" t="s">
        <v>164</v>
      </c>
      <c r="D27" s="59">
        <v>50998.33</v>
      </c>
      <c r="E27" s="105" t="s">
        <v>87</v>
      </c>
      <c r="F27" s="292"/>
      <c r="G27" s="293"/>
      <c r="H27" s="294"/>
      <c r="I27" s="294"/>
      <c r="J27" s="43"/>
      <c r="K27" s="44"/>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row>
    <row r="28" spans="1:114" s="46" customFormat="1" ht="23.25" customHeight="1">
      <c r="A28" s="260"/>
      <c r="B28" s="279"/>
      <c r="C28" s="158"/>
      <c r="D28" s="16"/>
      <c r="E28" s="59"/>
      <c r="F28" s="292"/>
      <c r="G28" s="293"/>
      <c r="H28" s="294"/>
      <c r="I28" s="294"/>
      <c r="J28" s="43"/>
      <c r="K28" s="4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row>
    <row r="29" spans="1:114" s="46" customFormat="1" ht="21" customHeight="1">
      <c r="A29" s="255"/>
      <c r="B29" s="280"/>
      <c r="C29" s="158"/>
      <c r="D29" s="60"/>
      <c r="E29" s="59"/>
      <c r="F29" s="6"/>
      <c r="G29" s="41"/>
      <c r="H29" s="33"/>
      <c r="I29" s="33"/>
      <c r="J29" s="43"/>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row>
    <row r="30" spans="1:114" s="46" customFormat="1" ht="22.5" customHeight="1">
      <c r="A30" s="153" t="s">
        <v>15</v>
      </c>
      <c r="B30" s="39">
        <f>SUM(B27:B28)</f>
        <v>0</v>
      </c>
      <c r="C30" s="159"/>
      <c r="D30" s="79">
        <f>SUM(D27:D29)</f>
        <v>50998.33</v>
      </c>
      <c r="E30" s="80"/>
      <c r="F30" s="50"/>
      <c r="G30" s="41"/>
      <c r="H30" s="33">
        <f>SUM(H27:H29)</f>
        <v>0</v>
      </c>
      <c r="I30" s="33"/>
      <c r="J30" s="43"/>
      <c r="K30" s="44"/>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row>
    <row r="31" spans="1:11" ht="21.75" customHeight="1">
      <c r="A31" s="254" t="s">
        <v>69</v>
      </c>
      <c r="B31" s="278"/>
      <c r="C31" s="152"/>
      <c r="D31" s="16"/>
      <c r="E31" s="81"/>
      <c r="F31" s="6"/>
      <c r="G31" s="32"/>
      <c r="H31" s="14"/>
      <c r="I31" s="14"/>
      <c r="J31" s="36"/>
      <c r="K31" s="47"/>
    </row>
    <row r="32" spans="1:11" ht="27.75" customHeight="1">
      <c r="A32" s="255"/>
      <c r="B32" s="280"/>
      <c r="C32" s="116"/>
      <c r="D32" s="16"/>
      <c r="E32" s="59"/>
      <c r="F32" s="6"/>
      <c r="G32" s="32"/>
      <c r="H32" s="14"/>
      <c r="I32" s="14"/>
      <c r="J32" s="36"/>
      <c r="K32" s="47"/>
    </row>
    <row r="33" spans="1:114" s="46" customFormat="1" ht="24" customHeight="1">
      <c r="A33" s="160" t="s">
        <v>15</v>
      </c>
      <c r="B33" s="39">
        <f>SUM(B31)</f>
        <v>0</v>
      </c>
      <c r="C33" s="159"/>
      <c r="D33" s="75">
        <f>D32+D31</f>
        <v>0</v>
      </c>
      <c r="E33" s="139"/>
      <c r="F33" s="10"/>
      <c r="G33" s="41"/>
      <c r="H33" s="33">
        <f>SUM(H31:H32)</f>
        <v>0</v>
      </c>
      <c r="I33" s="33"/>
      <c r="J33" s="43"/>
      <c r="K33" s="4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row>
    <row r="34" spans="1:114" s="46" customFormat="1" ht="33" customHeight="1">
      <c r="A34" s="254" t="s">
        <v>70</v>
      </c>
      <c r="B34" s="278"/>
      <c r="C34" s="152" t="s">
        <v>164</v>
      </c>
      <c r="D34" s="60">
        <v>50998.33</v>
      </c>
      <c r="E34" s="105" t="s">
        <v>87</v>
      </c>
      <c r="F34" s="10"/>
      <c r="G34" s="41"/>
      <c r="H34" s="33"/>
      <c r="I34" s="33"/>
      <c r="J34" s="43"/>
      <c r="K34" s="4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row>
    <row r="35" spans="1:10" ht="18.75" customHeight="1">
      <c r="A35" s="255"/>
      <c r="B35" s="280"/>
      <c r="C35" s="152"/>
      <c r="D35" s="60"/>
      <c r="E35" s="107"/>
      <c r="F35" s="51"/>
      <c r="G35" s="32"/>
      <c r="H35" s="14"/>
      <c r="I35" s="14"/>
      <c r="J35" s="36"/>
    </row>
    <row r="36" spans="1:114" s="46" customFormat="1" ht="27.75" customHeight="1">
      <c r="A36" s="153" t="s">
        <v>15</v>
      </c>
      <c r="B36" s="39">
        <f>SUM(B34:B35)</f>
        <v>0</v>
      </c>
      <c r="C36" s="2"/>
      <c r="D36" s="23">
        <f>SUM(D34:D35)</f>
        <v>50998.33</v>
      </c>
      <c r="E36" s="82"/>
      <c r="F36" s="50"/>
      <c r="G36" s="41"/>
      <c r="H36" s="33">
        <f>SUM(H35:H35)</f>
        <v>0</v>
      </c>
      <c r="I36" s="33"/>
      <c r="J36" s="43"/>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row>
    <row r="37" spans="1:10" ht="32.25" customHeight="1">
      <c r="A37" s="254" t="s">
        <v>71</v>
      </c>
      <c r="B37" s="278"/>
      <c r="C37" s="152" t="s">
        <v>164</v>
      </c>
      <c r="D37" s="60">
        <v>50998.33</v>
      </c>
      <c r="E37" s="105" t="s">
        <v>87</v>
      </c>
      <c r="F37" s="51"/>
      <c r="G37" s="32"/>
      <c r="H37" s="14"/>
      <c r="I37" s="14"/>
      <c r="J37" s="36"/>
    </row>
    <row r="38" spans="1:10" ht="15" customHeight="1" hidden="1">
      <c r="A38" s="260"/>
      <c r="B38" s="279"/>
      <c r="C38" s="152"/>
      <c r="D38" s="103"/>
      <c r="E38" s="113"/>
      <c r="F38" s="51"/>
      <c r="G38" s="32"/>
      <c r="H38" s="14"/>
      <c r="I38" s="14"/>
      <c r="J38" s="36"/>
    </row>
    <row r="39" spans="1:10" ht="20.25" customHeight="1">
      <c r="A39" s="255"/>
      <c r="B39" s="280"/>
      <c r="C39" s="159"/>
      <c r="D39" s="103"/>
      <c r="E39" s="59"/>
      <c r="F39" s="51"/>
      <c r="G39" s="32"/>
      <c r="H39" s="14"/>
      <c r="I39" s="14"/>
      <c r="J39" s="36"/>
    </row>
    <row r="40" spans="1:114" s="46" customFormat="1" ht="27" customHeight="1">
      <c r="A40" s="153" t="s">
        <v>15</v>
      </c>
      <c r="B40" s="39">
        <f>SUM(B37:B38)</f>
        <v>0</v>
      </c>
      <c r="C40" s="116"/>
      <c r="D40" s="23">
        <f>SUM(D37:D39)</f>
        <v>50998.33</v>
      </c>
      <c r="E40" s="82"/>
      <c r="F40" s="50"/>
      <c r="G40" s="41"/>
      <c r="H40" s="33">
        <f>H37</f>
        <v>0</v>
      </c>
      <c r="I40" s="33"/>
      <c r="J40" s="43"/>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row>
    <row r="41" spans="1:114" s="46" customFormat="1" ht="21" customHeight="1">
      <c r="A41" s="254" t="s">
        <v>7</v>
      </c>
      <c r="B41" s="278"/>
      <c r="C41" s="251"/>
      <c r="D41" s="60"/>
      <c r="E41" s="16"/>
      <c r="F41" s="50"/>
      <c r="G41" s="41"/>
      <c r="H41" s="14"/>
      <c r="I41" s="14"/>
      <c r="J41" s="43"/>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row>
    <row r="42" spans="1:10" ht="18" customHeight="1">
      <c r="A42" s="255"/>
      <c r="B42" s="280"/>
      <c r="C42" s="253"/>
      <c r="D42" s="16"/>
      <c r="E42" s="59"/>
      <c r="F42" s="6"/>
      <c r="G42" s="32"/>
      <c r="H42" s="14"/>
      <c r="I42" s="14"/>
      <c r="J42" s="36"/>
    </row>
    <row r="43" spans="1:114" s="46" customFormat="1" ht="23.25" customHeight="1">
      <c r="A43" s="153" t="s">
        <v>15</v>
      </c>
      <c r="B43" s="39">
        <f>SUM(B41)</f>
        <v>0</v>
      </c>
      <c r="C43" s="152"/>
      <c r="D43" s="22">
        <f>D42+D41</f>
        <v>0</v>
      </c>
      <c r="E43" s="60"/>
      <c r="F43" s="50"/>
      <c r="G43" s="41"/>
      <c r="H43" s="33">
        <f>SUM(H41:H42)</f>
        <v>0</v>
      </c>
      <c r="I43" s="33"/>
      <c r="J43" s="43"/>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row>
    <row r="44" spans="1:114" s="46" customFormat="1" ht="26.25" customHeight="1">
      <c r="A44" s="254" t="s">
        <v>16</v>
      </c>
      <c r="B44" s="278"/>
      <c r="C44" s="159"/>
      <c r="D44" s="16"/>
      <c r="E44" s="16"/>
      <c r="F44" s="50"/>
      <c r="G44" s="41"/>
      <c r="H44" s="14"/>
      <c r="I44" s="14"/>
      <c r="J44" s="43"/>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row>
    <row r="45" spans="1:10" ht="16.5" customHeight="1">
      <c r="A45" s="255"/>
      <c r="B45" s="280"/>
      <c r="C45" s="159"/>
      <c r="D45" s="78"/>
      <c r="E45" s="59"/>
      <c r="F45" s="6"/>
      <c r="G45" s="32"/>
      <c r="H45" s="14"/>
      <c r="I45" s="14"/>
      <c r="J45" s="36"/>
    </row>
    <row r="46" spans="1:114" s="46" customFormat="1" ht="27.75" customHeight="1">
      <c r="A46" s="153" t="s">
        <v>15</v>
      </c>
      <c r="B46" s="39">
        <f>SUM(B44:B44)</f>
        <v>0</v>
      </c>
      <c r="C46" s="161"/>
      <c r="D46" s="23">
        <f>D45+D44</f>
        <v>0</v>
      </c>
      <c r="E46" s="82"/>
      <c r="F46" s="50"/>
      <c r="G46" s="41"/>
      <c r="H46" s="33">
        <f>SUM(H44:H45)</f>
        <v>0</v>
      </c>
      <c r="I46" s="33"/>
      <c r="J46" s="43"/>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row>
    <row r="47" spans="1:114" s="46" customFormat="1" ht="169.5" customHeight="1">
      <c r="A47" s="254" t="s">
        <v>8</v>
      </c>
      <c r="B47" s="278">
        <f>20400+19370</f>
        <v>39770</v>
      </c>
      <c r="C47" s="162" t="s">
        <v>114</v>
      </c>
      <c r="D47" s="60"/>
      <c r="E47" s="59"/>
      <c r="F47" s="50"/>
      <c r="G47" s="41"/>
      <c r="H47" s="33"/>
      <c r="I47" s="33"/>
      <c r="J47" s="43"/>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row>
    <row r="48" spans="1:114" s="46" customFormat="1" ht="29.25" customHeight="1">
      <c r="A48" s="260"/>
      <c r="B48" s="279"/>
      <c r="C48" s="152" t="s">
        <v>164</v>
      </c>
      <c r="D48" s="59">
        <v>50998.33</v>
      </c>
      <c r="E48" s="105" t="s">
        <v>87</v>
      </c>
      <c r="F48" s="50"/>
      <c r="G48" s="41"/>
      <c r="H48" s="33"/>
      <c r="I48" s="33"/>
      <c r="J48" s="43"/>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row>
    <row r="49" spans="1:10" ht="15.75" customHeight="1">
      <c r="A49" s="255"/>
      <c r="B49" s="280"/>
      <c r="C49" s="152"/>
      <c r="D49" s="59"/>
      <c r="E49" s="105"/>
      <c r="F49" s="5"/>
      <c r="G49" s="32"/>
      <c r="H49" s="14"/>
      <c r="I49" s="14"/>
      <c r="J49" s="36"/>
    </row>
    <row r="50" spans="1:114" s="46" customFormat="1" ht="31.5" customHeight="1">
      <c r="A50" s="153" t="s">
        <v>15</v>
      </c>
      <c r="B50" s="39">
        <f>SUM(B47)</f>
        <v>39770</v>
      </c>
      <c r="C50" s="152"/>
      <c r="D50" s="22">
        <f>SUM(D47:D49)</f>
        <v>50998.33</v>
      </c>
      <c r="E50" s="82"/>
      <c r="F50" s="50"/>
      <c r="G50" s="41"/>
      <c r="H50" s="33">
        <f>SUM(H48:H49)</f>
        <v>0</v>
      </c>
      <c r="I50" s="33"/>
      <c r="J50" s="43"/>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row>
    <row r="51" spans="1:114" s="46" customFormat="1" ht="15" customHeight="1">
      <c r="A51" s="254" t="s">
        <v>9</v>
      </c>
      <c r="B51" s="278">
        <v>8000</v>
      </c>
      <c r="C51" s="251" t="s">
        <v>115</v>
      </c>
      <c r="D51" s="59"/>
      <c r="E51" s="74"/>
      <c r="F51" s="50"/>
      <c r="G51" s="41"/>
      <c r="H51" s="33"/>
      <c r="I51" s="33"/>
      <c r="J51" s="43"/>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row>
    <row r="52" spans="1:10" ht="32.25" customHeight="1">
      <c r="A52" s="255"/>
      <c r="B52" s="280"/>
      <c r="C52" s="253"/>
      <c r="D52" s="16"/>
      <c r="E52" s="16"/>
      <c r="F52" s="5"/>
      <c r="G52" s="32"/>
      <c r="H52" s="12"/>
      <c r="I52" s="14"/>
      <c r="J52" s="36"/>
    </row>
    <row r="53" spans="1:114" s="46" customFormat="1" ht="19.5" customHeight="1">
      <c r="A53" s="153" t="s">
        <v>15</v>
      </c>
      <c r="B53" s="39">
        <f>B51</f>
        <v>8000</v>
      </c>
      <c r="C53" s="159"/>
      <c r="D53" s="22">
        <f>D52+D51</f>
        <v>0</v>
      </c>
      <c r="E53" s="82"/>
      <c r="F53" s="50">
        <f>F52</f>
        <v>0</v>
      </c>
      <c r="G53" s="41"/>
      <c r="H53" s="33">
        <f>SUM(H51:H52)</f>
        <v>0</v>
      </c>
      <c r="I53" s="33"/>
      <c r="J53" s="43"/>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row>
    <row r="54" spans="1:114" s="46" customFormat="1" ht="32.25" customHeight="1">
      <c r="A54" s="254" t="s">
        <v>10</v>
      </c>
      <c r="B54" s="278"/>
      <c r="C54" s="152"/>
      <c r="D54" s="59"/>
      <c r="E54" s="74"/>
      <c r="F54" s="50"/>
      <c r="G54" s="41"/>
      <c r="H54" s="33"/>
      <c r="I54" s="33"/>
      <c r="J54" s="43"/>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row>
    <row r="55" spans="1:10" ht="23.25" customHeight="1">
      <c r="A55" s="255"/>
      <c r="B55" s="280"/>
      <c r="C55" s="116"/>
      <c r="D55" s="16"/>
      <c r="E55" s="59"/>
      <c r="F55" s="5"/>
      <c r="G55" s="32"/>
      <c r="H55" s="14"/>
      <c r="I55" s="14"/>
      <c r="J55" s="36"/>
    </row>
    <row r="56" spans="1:114" s="46" customFormat="1" ht="21.75" customHeight="1">
      <c r="A56" s="153" t="s">
        <v>15</v>
      </c>
      <c r="B56" s="39">
        <f>SUM(B54:B54)</f>
        <v>0</v>
      </c>
      <c r="C56" s="152"/>
      <c r="D56" s="22">
        <f>D55+D54</f>
        <v>0</v>
      </c>
      <c r="E56" s="60"/>
      <c r="F56" s="50"/>
      <c r="G56" s="41"/>
      <c r="H56" s="33">
        <f>SUM(H54:H55)</f>
        <v>0</v>
      </c>
      <c r="I56" s="33"/>
      <c r="J56" s="43"/>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row>
    <row r="57" spans="1:114" s="46" customFormat="1" ht="24" customHeight="1">
      <c r="A57" s="254" t="s">
        <v>11</v>
      </c>
      <c r="B57" s="278"/>
      <c r="C57" s="152"/>
      <c r="D57" s="59"/>
      <c r="E57" s="74"/>
      <c r="F57" s="5"/>
      <c r="G57" s="32"/>
      <c r="H57" s="14"/>
      <c r="I57" s="14"/>
      <c r="J57" s="43"/>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row>
    <row r="58" spans="1:10" ht="23.25" customHeight="1">
      <c r="A58" s="255"/>
      <c r="B58" s="280"/>
      <c r="C58" s="116"/>
      <c r="D58" s="16"/>
      <c r="E58" s="59"/>
      <c r="F58" s="5"/>
      <c r="G58" s="32"/>
      <c r="H58" s="14"/>
      <c r="I58" s="14"/>
      <c r="J58" s="36"/>
    </row>
    <row r="59" spans="1:114" s="46" customFormat="1" ht="23.25" customHeight="1">
      <c r="A59" s="153" t="s">
        <v>15</v>
      </c>
      <c r="B59" s="52">
        <f>SUM(B57:B57)</f>
        <v>0</v>
      </c>
      <c r="C59" s="116"/>
      <c r="D59" s="22">
        <f>D58+D57</f>
        <v>0</v>
      </c>
      <c r="E59" s="60"/>
      <c r="F59" s="50">
        <f>F58+F57</f>
        <v>0</v>
      </c>
      <c r="G59" s="41"/>
      <c r="H59" s="33">
        <f>SUM(H57:H58)</f>
        <v>0</v>
      </c>
      <c r="I59" s="33"/>
      <c r="J59" s="43"/>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row>
    <row r="60" spans="1:114" s="46" customFormat="1" ht="13.5" customHeight="1">
      <c r="A60" s="254" t="s">
        <v>12</v>
      </c>
      <c r="B60" s="278"/>
      <c r="C60" s="251"/>
      <c r="D60" s="59"/>
      <c r="E60" s="74"/>
      <c r="F60" s="50"/>
      <c r="G60" s="41"/>
      <c r="H60" s="33"/>
      <c r="I60" s="33"/>
      <c r="J60" s="43"/>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row>
    <row r="61" spans="1:10" ht="18" customHeight="1">
      <c r="A61" s="255"/>
      <c r="B61" s="280"/>
      <c r="C61" s="253"/>
      <c r="D61" s="16"/>
      <c r="E61" s="16"/>
      <c r="F61" s="5"/>
      <c r="G61" s="32"/>
      <c r="H61" s="14"/>
      <c r="I61" s="14"/>
      <c r="J61" s="36"/>
    </row>
    <row r="62" spans="1:114" s="46" customFormat="1" ht="24.75" customHeight="1">
      <c r="A62" s="153" t="s">
        <v>15</v>
      </c>
      <c r="B62" s="39">
        <f>SUM(B60:B60)</f>
        <v>0</v>
      </c>
      <c r="C62" s="116"/>
      <c r="D62" s="22">
        <f>D61+D60</f>
        <v>0</v>
      </c>
      <c r="E62" s="82"/>
      <c r="F62" s="50"/>
      <c r="G62" s="41"/>
      <c r="H62" s="33">
        <f>SUM(H60:H61)</f>
        <v>0</v>
      </c>
      <c r="I62" s="33"/>
      <c r="J62" s="43"/>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row>
    <row r="63" spans="1:114" s="46" customFormat="1" ht="32.25" customHeight="1">
      <c r="A63" s="254" t="s">
        <v>13</v>
      </c>
      <c r="B63" s="278"/>
      <c r="C63" s="152" t="s">
        <v>164</v>
      </c>
      <c r="D63" s="59">
        <v>50998.33</v>
      </c>
      <c r="E63" s="105" t="s">
        <v>87</v>
      </c>
      <c r="F63" s="50"/>
      <c r="G63" s="41"/>
      <c r="H63" s="14"/>
      <c r="I63" s="14"/>
      <c r="J63" s="43"/>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row>
    <row r="64" spans="1:10" ht="27" customHeight="1">
      <c r="A64" s="255"/>
      <c r="B64" s="280"/>
      <c r="C64" s="116"/>
      <c r="D64" s="78"/>
      <c r="E64" s="59"/>
      <c r="F64" s="5"/>
      <c r="G64" s="32"/>
      <c r="H64" s="14"/>
      <c r="I64" s="14"/>
      <c r="J64" s="36"/>
    </row>
    <row r="65" spans="1:10" ht="21.75" customHeight="1">
      <c r="A65" s="153" t="s">
        <v>15</v>
      </c>
      <c r="B65" s="39">
        <f>SUM(B63:B63)</f>
        <v>0</v>
      </c>
      <c r="C65" s="116"/>
      <c r="D65" s="22">
        <f>D64+D63</f>
        <v>50998.33</v>
      </c>
      <c r="E65" s="82"/>
      <c r="F65" s="50">
        <f>F64</f>
        <v>0</v>
      </c>
      <c r="G65" s="32"/>
      <c r="H65" s="33">
        <f>SUM(H63:H64)</f>
        <v>0</v>
      </c>
      <c r="I65" s="14"/>
      <c r="J65" s="36"/>
    </row>
    <row r="66" spans="1:10" s="56" customFormat="1" ht="24" customHeight="1">
      <c r="A66" s="258" t="s">
        <v>83</v>
      </c>
      <c r="B66" s="278"/>
      <c r="C66" s="152"/>
      <c r="D66" s="49"/>
      <c r="E66" s="74"/>
      <c r="F66" s="54"/>
      <c r="G66" s="4"/>
      <c r="H66" s="10"/>
      <c r="I66" s="11"/>
      <c r="J66" s="55"/>
    </row>
    <row r="67" spans="1:10" ht="24.75" customHeight="1">
      <c r="A67" s="259"/>
      <c r="B67" s="280"/>
      <c r="C67" s="116"/>
      <c r="D67" s="16"/>
      <c r="E67" s="59"/>
      <c r="F67" s="5"/>
      <c r="G67" s="32"/>
      <c r="H67" s="14"/>
      <c r="I67" s="14"/>
      <c r="J67" s="43"/>
    </row>
    <row r="68" spans="1:114" s="46" customFormat="1" ht="18" customHeight="1">
      <c r="A68" s="153" t="s">
        <v>15</v>
      </c>
      <c r="B68" s="39">
        <f>SUM(B66:B66)</f>
        <v>0</v>
      </c>
      <c r="C68" s="116"/>
      <c r="D68" s="22">
        <f>D67+D66</f>
        <v>0</v>
      </c>
      <c r="E68" s="23"/>
      <c r="F68" s="50">
        <f>F67</f>
        <v>0</v>
      </c>
      <c r="G68" s="41"/>
      <c r="H68" s="9">
        <f>SUM(H66:H67)</f>
        <v>0</v>
      </c>
      <c r="I68" s="33"/>
      <c r="J68" s="43"/>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row>
    <row r="69" spans="1:114" s="46" customFormat="1" ht="21" customHeight="1">
      <c r="A69" s="258" t="s">
        <v>82</v>
      </c>
      <c r="B69" s="278"/>
      <c r="C69" s="152"/>
      <c r="D69" s="16"/>
      <c r="E69" s="16"/>
      <c r="F69" s="50"/>
      <c r="G69" s="41"/>
      <c r="H69" s="14"/>
      <c r="I69" s="14"/>
      <c r="J69" s="43"/>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row>
    <row r="70" spans="1:10" ht="26.25" customHeight="1">
      <c r="A70" s="259"/>
      <c r="B70" s="280"/>
      <c r="C70" s="116"/>
      <c r="D70" s="59"/>
      <c r="E70" s="59"/>
      <c r="F70" s="5"/>
      <c r="G70" s="32"/>
      <c r="H70" s="33"/>
      <c r="I70" s="33"/>
      <c r="J70" s="43"/>
    </row>
    <row r="71" spans="1:114" s="46" customFormat="1" ht="30.75" customHeight="1">
      <c r="A71" s="153" t="s">
        <v>15</v>
      </c>
      <c r="B71" s="39">
        <f>SUM(B69:B69)</f>
        <v>0</v>
      </c>
      <c r="C71" s="116"/>
      <c r="D71" s="22">
        <f>D70+D69</f>
        <v>0</v>
      </c>
      <c r="E71" s="23"/>
      <c r="F71" s="50">
        <f>F70</f>
        <v>0</v>
      </c>
      <c r="G71" s="41"/>
      <c r="H71" s="33">
        <f>SUM(H69:H70)</f>
        <v>0</v>
      </c>
      <c r="I71" s="33"/>
      <c r="J71" s="43"/>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row>
    <row r="72" spans="1:114" s="46" customFormat="1" ht="30.75" customHeight="1">
      <c r="A72" s="163" t="s">
        <v>44</v>
      </c>
      <c r="B72" s="22">
        <f>B71+B68+B65+B62+B59+B56+B53+B50+B46+B43+B40+B36+B33+B30+B26+B23+B20+B17+B14</f>
        <v>47770</v>
      </c>
      <c r="C72" s="3"/>
      <c r="D72" s="22">
        <f>D71+D68+D65+D62+D59+D56+D53+D50+D46+D43+D40+D36+D33+D30+D26+D23+D20+D17+D14</f>
        <v>407986.6400000001</v>
      </c>
      <c r="E72" s="23"/>
      <c r="F72" s="22">
        <f>F71+F68+F65+F62+F59+F56+F53+F50+F46+F43+F40+F36+F33+F30+F26+F23+F20+F17+F14</f>
        <v>0</v>
      </c>
      <c r="G72" s="4"/>
      <c r="H72" s="22">
        <f>H71+H68+H65+H62+H59+H56+H53+H50+H46+H43+H40+H36+H33+H30+H26+H23+H20+H17+H14</f>
        <v>0</v>
      </c>
      <c r="I72" s="120"/>
      <c r="J72" s="43"/>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row>
    <row r="73" spans="1:114" s="46" customFormat="1" ht="142.5" customHeight="1">
      <c r="A73" s="254" t="s">
        <v>72</v>
      </c>
      <c r="B73" s="278"/>
      <c r="C73" s="156" t="s">
        <v>169</v>
      </c>
      <c r="D73" s="122">
        <f>22321.38+32190+7776.26+1974.78+38565.36+13772.35+79120+35853</f>
        <v>231573.13</v>
      </c>
      <c r="E73" s="105" t="s">
        <v>87</v>
      </c>
      <c r="F73" s="118"/>
      <c r="G73" s="119"/>
      <c r="H73" s="33"/>
      <c r="I73" s="120"/>
      <c r="J73" s="43"/>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row>
    <row r="74" spans="1:114" s="46" customFormat="1" ht="124.5" customHeight="1">
      <c r="A74" s="260"/>
      <c r="B74" s="279"/>
      <c r="C74" s="156" t="s">
        <v>90</v>
      </c>
      <c r="D74" s="122">
        <v>151722</v>
      </c>
      <c r="E74" s="105" t="s">
        <v>80</v>
      </c>
      <c r="F74" s="118"/>
      <c r="G74" s="119"/>
      <c r="H74" s="33"/>
      <c r="I74" s="120"/>
      <c r="J74" s="43"/>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row>
    <row r="75" spans="1:114" s="46" customFormat="1" ht="28.5" customHeight="1">
      <c r="A75" s="260"/>
      <c r="B75" s="279"/>
      <c r="C75" s="162" t="s">
        <v>81</v>
      </c>
      <c r="D75" s="144">
        <f>673.92</f>
        <v>673.92</v>
      </c>
      <c r="E75" s="105" t="s">
        <v>91</v>
      </c>
      <c r="F75" s="118"/>
      <c r="G75" s="119"/>
      <c r="H75" s="33"/>
      <c r="I75" s="120"/>
      <c r="J75" s="43"/>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row>
    <row r="76" spans="1:114" s="46" customFormat="1" ht="36.75" customHeight="1">
      <c r="A76" s="260"/>
      <c r="B76" s="279"/>
      <c r="C76" s="128" t="s">
        <v>81</v>
      </c>
      <c r="D76" s="109">
        <v>1280.45</v>
      </c>
      <c r="E76" s="59" t="s">
        <v>92</v>
      </c>
      <c r="F76" s="118"/>
      <c r="G76" s="119"/>
      <c r="H76" s="33"/>
      <c r="I76" s="120"/>
      <c r="J76" s="43"/>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row>
    <row r="77" spans="1:114" s="46" customFormat="1" ht="45.75" customHeight="1">
      <c r="A77" s="260"/>
      <c r="B77" s="279"/>
      <c r="C77" s="146" t="s">
        <v>150</v>
      </c>
      <c r="D77" s="109">
        <f>240+10525+10943</f>
        <v>21708</v>
      </c>
      <c r="E77" s="106" t="s">
        <v>131</v>
      </c>
      <c r="F77" s="5"/>
      <c r="G77" s="14"/>
      <c r="H77" s="12"/>
      <c r="I77" s="15"/>
      <c r="J77" s="43"/>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row>
    <row r="78" spans="1:114" s="46" customFormat="1" ht="173.25" customHeight="1">
      <c r="A78" s="260"/>
      <c r="B78" s="279"/>
      <c r="C78" s="146" t="s">
        <v>133</v>
      </c>
      <c r="D78" s="109">
        <f>57558.22+112102.29+36683.7</f>
        <v>206344.21000000002</v>
      </c>
      <c r="E78" s="106" t="s">
        <v>132</v>
      </c>
      <c r="F78" s="5"/>
      <c r="G78" s="14"/>
      <c r="H78" s="12"/>
      <c r="I78" s="15"/>
      <c r="J78" s="43"/>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row>
    <row r="79" spans="1:114" s="46" customFormat="1" ht="65.25" customHeight="1">
      <c r="A79" s="255"/>
      <c r="B79" s="280"/>
      <c r="C79" s="146" t="s">
        <v>149</v>
      </c>
      <c r="D79" s="122">
        <f>234344+134230.34</f>
        <v>368574.33999999997</v>
      </c>
      <c r="E79" s="106" t="s">
        <v>148</v>
      </c>
      <c r="F79" s="5"/>
      <c r="G79" s="14"/>
      <c r="H79" s="12"/>
      <c r="I79" s="15"/>
      <c r="J79" s="43"/>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row>
    <row r="80" spans="1:114" s="46" customFormat="1" ht="27.75" customHeight="1">
      <c r="A80" s="153" t="s">
        <v>15</v>
      </c>
      <c r="B80" s="39">
        <f>B73</f>
        <v>0</v>
      </c>
      <c r="C80" s="2"/>
      <c r="D80" s="22">
        <f>SUM(D73:D79)</f>
        <v>981876.0499999999</v>
      </c>
      <c r="E80" s="23"/>
      <c r="F80" s="50">
        <f>F79</f>
        <v>0</v>
      </c>
      <c r="G80" s="41"/>
      <c r="H80" s="9">
        <f>SUM(H77:H79)</f>
        <v>0</v>
      </c>
      <c r="I80" s="33"/>
      <c r="J80" s="43"/>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row>
    <row r="81" spans="1:114" s="46" customFormat="1" ht="48.75" customHeight="1">
      <c r="A81" s="254" t="s">
        <v>28</v>
      </c>
      <c r="B81" s="278"/>
      <c r="C81" s="21" t="s">
        <v>152</v>
      </c>
      <c r="D81" s="16">
        <v>450053.76</v>
      </c>
      <c r="E81" s="16" t="s">
        <v>151</v>
      </c>
      <c r="F81" s="288"/>
      <c r="G81" s="268"/>
      <c r="H81" s="9"/>
      <c r="I81" s="33"/>
      <c r="J81" s="43"/>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row>
    <row r="82" spans="1:114" s="46" customFormat="1" ht="18" customHeight="1">
      <c r="A82" s="260"/>
      <c r="B82" s="279"/>
      <c r="C82" s="150"/>
      <c r="D82" s="59"/>
      <c r="E82" s="74"/>
      <c r="F82" s="289"/>
      <c r="G82" s="271"/>
      <c r="H82" s="14"/>
      <c r="I82" s="14"/>
      <c r="J82" s="43"/>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row>
    <row r="83" spans="1:9" ht="2.25" customHeight="1" hidden="1">
      <c r="A83" s="255"/>
      <c r="B83" s="280"/>
      <c r="C83" s="114"/>
      <c r="D83" s="59"/>
      <c r="E83" s="83"/>
      <c r="F83" s="290"/>
      <c r="G83" s="269"/>
      <c r="H83" s="57"/>
      <c r="I83" s="14"/>
    </row>
    <row r="84" spans="1:114" s="46" customFormat="1" ht="19.5" customHeight="1">
      <c r="A84" s="153" t="s">
        <v>15</v>
      </c>
      <c r="B84" s="39">
        <f>SUM(B81:B81)</f>
        <v>0</v>
      </c>
      <c r="C84" s="2"/>
      <c r="D84" s="101">
        <f>SUM(D81:D83)</f>
        <v>450053.76</v>
      </c>
      <c r="E84" s="84"/>
      <c r="F84" s="50">
        <f>F81</f>
        <v>0</v>
      </c>
      <c r="G84" s="41"/>
      <c r="H84" s="8">
        <f>SUM(H82:H83)</f>
        <v>0</v>
      </c>
      <c r="I84" s="33"/>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row>
    <row r="85" spans="1:114" s="46" customFormat="1" ht="37.5" customHeight="1">
      <c r="A85" s="254" t="s">
        <v>55</v>
      </c>
      <c r="B85" s="278"/>
      <c r="C85" s="152" t="s">
        <v>164</v>
      </c>
      <c r="D85" s="59">
        <v>50998.33</v>
      </c>
      <c r="E85" s="105" t="s">
        <v>87</v>
      </c>
      <c r="F85" s="288"/>
      <c r="G85" s="268"/>
      <c r="H85" s="8"/>
      <c r="I85" s="33"/>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row>
    <row r="86" spans="1:114" s="46" customFormat="1" ht="21.75" customHeight="1">
      <c r="A86" s="255"/>
      <c r="B86" s="280"/>
      <c r="C86" s="114"/>
      <c r="D86" s="59"/>
      <c r="E86" s="59"/>
      <c r="F86" s="290"/>
      <c r="G86" s="269"/>
      <c r="H86" s="58"/>
      <c r="I86" s="58"/>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row>
    <row r="87" spans="1:114" s="46" customFormat="1" ht="26.25" customHeight="1">
      <c r="A87" s="153" t="s">
        <v>15</v>
      </c>
      <c r="B87" s="39">
        <f>SUM(B85:B86)</f>
        <v>0</v>
      </c>
      <c r="C87" s="3"/>
      <c r="D87" s="23">
        <f>SUM(D85:D86)</f>
        <v>50998.33</v>
      </c>
      <c r="E87" s="23"/>
      <c r="F87" s="10">
        <f>F85</f>
        <v>0</v>
      </c>
      <c r="G87" s="41"/>
      <c r="H87" s="8">
        <f>SUM(H85:H86)</f>
        <v>0</v>
      </c>
      <c r="I87" s="33"/>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row>
    <row r="88" spans="1:114" s="46" customFormat="1" ht="78" customHeight="1">
      <c r="A88" s="254" t="s">
        <v>54</v>
      </c>
      <c r="B88" s="284"/>
      <c r="C88" s="128" t="s">
        <v>129</v>
      </c>
      <c r="D88" s="109">
        <f>5046.66+1974.78+20914.61</f>
        <v>27936.05</v>
      </c>
      <c r="E88" s="105" t="s">
        <v>87</v>
      </c>
      <c r="F88" s="266"/>
      <c r="G88" s="268"/>
      <c r="H88" s="57"/>
      <c r="I88" s="14"/>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row>
    <row r="89" spans="1:114" s="46" customFormat="1" ht="23.25" customHeight="1">
      <c r="A89" s="260"/>
      <c r="B89" s="285"/>
      <c r="C89" s="136" t="s">
        <v>134</v>
      </c>
      <c r="D89" s="109">
        <v>4320</v>
      </c>
      <c r="E89" s="117" t="s">
        <v>136</v>
      </c>
      <c r="F89" s="270"/>
      <c r="G89" s="271"/>
      <c r="H89" s="57"/>
      <c r="I89" s="14"/>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row>
    <row r="90" spans="1:114" s="46" customFormat="1" ht="42" customHeight="1">
      <c r="A90" s="255"/>
      <c r="B90" s="286"/>
      <c r="C90" s="128" t="s">
        <v>121</v>
      </c>
      <c r="D90" s="109">
        <f>6770+5607</f>
        <v>12377</v>
      </c>
      <c r="E90" s="59" t="s">
        <v>108</v>
      </c>
      <c r="F90" s="267"/>
      <c r="G90" s="269"/>
      <c r="H90" s="8"/>
      <c r="I90" s="33"/>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row>
    <row r="91" spans="1:114" s="46" customFormat="1" ht="24" customHeight="1">
      <c r="A91" s="153" t="s">
        <v>15</v>
      </c>
      <c r="B91" s="39">
        <f>SUM(B88:B90)</f>
        <v>0</v>
      </c>
      <c r="C91" s="3"/>
      <c r="D91" s="22">
        <f>SUM(D88:D90)</f>
        <v>44633.05</v>
      </c>
      <c r="E91" s="23"/>
      <c r="F91" s="10">
        <f>F88</f>
        <v>0</v>
      </c>
      <c r="G91" s="41"/>
      <c r="H91" s="8">
        <f>SUM(H88:H90)</f>
        <v>0</v>
      </c>
      <c r="I91" s="33"/>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row>
    <row r="92" spans="1:114" s="46" customFormat="1" ht="28.5" customHeight="1">
      <c r="A92" s="254" t="s">
        <v>73</v>
      </c>
      <c r="B92" s="278"/>
      <c r="C92" s="162" t="s">
        <v>81</v>
      </c>
      <c r="D92" s="144">
        <v>1979.64</v>
      </c>
      <c r="E92" s="105" t="s">
        <v>91</v>
      </c>
      <c r="F92" s="123"/>
      <c r="G92" s="119"/>
      <c r="H92" s="8"/>
      <c r="I92" s="33"/>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row>
    <row r="93" spans="1:114" s="46" customFormat="1" ht="26.25" customHeight="1">
      <c r="A93" s="260"/>
      <c r="B93" s="279"/>
      <c r="C93" s="128" t="s">
        <v>81</v>
      </c>
      <c r="D93" s="109">
        <v>1280.45</v>
      </c>
      <c r="E93" s="59" t="s">
        <v>92</v>
      </c>
      <c r="F93" s="123"/>
      <c r="G93" s="119"/>
      <c r="H93" s="8"/>
      <c r="I93" s="33"/>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row>
    <row r="94" spans="1:114" s="46" customFormat="1" ht="72.75" customHeight="1">
      <c r="A94" s="260"/>
      <c r="B94" s="279"/>
      <c r="C94" s="128" t="s">
        <v>125</v>
      </c>
      <c r="D94" s="109">
        <f>26825+2047.2+1974.78+13772.35</f>
        <v>44619.33</v>
      </c>
      <c r="E94" s="105" t="s">
        <v>87</v>
      </c>
      <c r="F94" s="123"/>
      <c r="G94" s="119"/>
      <c r="H94" s="8"/>
      <c r="I94" s="33"/>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row>
    <row r="95" spans="1:9" ht="23.25" customHeight="1">
      <c r="A95" s="260"/>
      <c r="B95" s="279"/>
      <c r="C95" s="152" t="s">
        <v>29</v>
      </c>
      <c r="D95" s="109">
        <v>64487.68</v>
      </c>
      <c r="E95" s="109" t="s">
        <v>142</v>
      </c>
      <c r="F95" s="281"/>
      <c r="G95" s="268"/>
      <c r="H95" s="5"/>
      <c r="I95" s="14"/>
    </row>
    <row r="96" spans="1:9" ht="81.75" customHeight="1">
      <c r="A96" s="260"/>
      <c r="B96" s="279"/>
      <c r="C96" s="171" t="s">
        <v>154</v>
      </c>
      <c r="D96" s="82">
        <f>93980+22196.34+89605.8</f>
        <v>205782.14</v>
      </c>
      <c r="E96" s="171" t="s">
        <v>153</v>
      </c>
      <c r="F96" s="282"/>
      <c r="G96" s="271"/>
      <c r="H96" s="5"/>
      <c r="I96" s="14"/>
    </row>
    <row r="97" spans="1:9" ht="21.75" customHeight="1">
      <c r="A97" s="260"/>
      <c r="B97" s="279"/>
      <c r="C97" s="116" t="s">
        <v>155</v>
      </c>
      <c r="D97" s="82">
        <v>60</v>
      </c>
      <c r="E97" s="59" t="s">
        <v>108</v>
      </c>
      <c r="F97" s="282"/>
      <c r="G97" s="271"/>
      <c r="H97" s="5"/>
      <c r="I97" s="14"/>
    </row>
    <row r="98" spans="1:9" ht="12.75" customHeight="1">
      <c r="A98" s="260"/>
      <c r="B98" s="279"/>
      <c r="C98" s="152"/>
      <c r="D98" s="109"/>
      <c r="E98" s="106"/>
      <c r="F98" s="282"/>
      <c r="G98" s="271"/>
      <c r="H98" s="5"/>
      <c r="I98" s="14"/>
    </row>
    <row r="99" spans="1:9" ht="15" customHeight="1">
      <c r="A99" s="255"/>
      <c r="B99" s="280"/>
      <c r="C99" s="152"/>
      <c r="D99" s="109"/>
      <c r="E99" s="100"/>
      <c r="F99" s="283"/>
      <c r="G99" s="269"/>
      <c r="H99" s="5"/>
      <c r="I99" s="14"/>
    </row>
    <row r="100" spans="1:114" s="46" customFormat="1" ht="22.5" customHeight="1">
      <c r="A100" s="153" t="s">
        <v>15</v>
      </c>
      <c r="B100" s="52">
        <f>SUM(B92:B92)</f>
        <v>0</v>
      </c>
      <c r="C100" s="152"/>
      <c r="D100" s="22">
        <f>SUM(D92:D99)</f>
        <v>318209.24</v>
      </c>
      <c r="E100" s="23"/>
      <c r="F100" s="10">
        <f>F95</f>
        <v>0</v>
      </c>
      <c r="G100" s="41"/>
      <c r="H100" s="50">
        <f>H95</f>
        <v>0</v>
      </c>
      <c r="I100" s="33"/>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row>
    <row r="101" spans="1:114" s="46" customFormat="1" ht="174.75" customHeight="1" hidden="1">
      <c r="A101" s="153" t="s">
        <v>15</v>
      </c>
      <c r="B101" s="39">
        <f>SUM(B92:B100)</f>
        <v>0</v>
      </c>
      <c r="C101" s="2"/>
      <c r="D101" s="23"/>
      <c r="E101" s="22"/>
      <c r="F101" s="9"/>
      <c r="G101" s="41"/>
      <c r="H101" s="8"/>
      <c r="I101" s="8"/>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row>
    <row r="102" spans="1:114" s="46" customFormat="1" ht="16.5" customHeight="1" hidden="1">
      <c r="A102" s="164" t="s">
        <v>27</v>
      </c>
      <c r="B102" s="62">
        <v>10999</v>
      </c>
      <c r="C102" s="152" t="s">
        <v>35</v>
      </c>
      <c r="D102" s="23"/>
      <c r="E102" s="22"/>
      <c r="F102" s="9"/>
      <c r="G102" s="41"/>
      <c r="H102" s="8"/>
      <c r="I102" s="8"/>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row>
    <row r="103" spans="1:9" ht="17.25" customHeight="1" hidden="1">
      <c r="A103" s="164" t="s">
        <v>27</v>
      </c>
      <c r="B103" s="62">
        <v>1219</v>
      </c>
      <c r="C103" s="152" t="s">
        <v>29</v>
      </c>
      <c r="D103" s="60"/>
      <c r="E103" s="22"/>
      <c r="F103" s="12"/>
      <c r="G103" s="32"/>
      <c r="H103" s="57"/>
      <c r="I103" s="14"/>
    </row>
    <row r="104" spans="1:114" s="46" customFormat="1" ht="16.5" customHeight="1" hidden="1">
      <c r="A104" s="153" t="s">
        <v>15</v>
      </c>
      <c r="B104" s="39">
        <f>SUM(B102:B103)</f>
        <v>12218</v>
      </c>
      <c r="C104" s="2"/>
      <c r="D104" s="23"/>
      <c r="E104" s="22"/>
      <c r="F104" s="9"/>
      <c r="G104" s="41"/>
      <c r="H104" s="8"/>
      <c r="I104" s="8"/>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row>
    <row r="105" spans="1:114" s="46" customFormat="1" ht="16.5" customHeight="1" hidden="1">
      <c r="A105" s="164" t="s">
        <v>22</v>
      </c>
      <c r="B105" s="59">
        <v>3133</v>
      </c>
      <c r="C105" s="152" t="s">
        <v>30</v>
      </c>
      <c r="D105" s="60"/>
      <c r="E105" s="22"/>
      <c r="F105" s="9"/>
      <c r="G105" s="41"/>
      <c r="H105" s="8"/>
      <c r="I105" s="8"/>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row>
    <row r="106" spans="1:114" s="46" customFormat="1" ht="18.75" customHeight="1" hidden="1">
      <c r="A106" s="164" t="s">
        <v>22</v>
      </c>
      <c r="B106" s="59">
        <v>120</v>
      </c>
      <c r="C106" s="152" t="s">
        <v>26</v>
      </c>
      <c r="D106" s="60"/>
      <c r="E106" s="22"/>
      <c r="F106" s="9"/>
      <c r="G106" s="41"/>
      <c r="H106" s="8"/>
      <c r="I106" s="8"/>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row>
    <row r="107" spans="1:114" s="46" customFormat="1" ht="18.75" customHeight="1" hidden="1">
      <c r="A107" s="164" t="s">
        <v>22</v>
      </c>
      <c r="B107" s="59">
        <v>210</v>
      </c>
      <c r="C107" s="152" t="s">
        <v>26</v>
      </c>
      <c r="D107" s="60"/>
      <c r="E107" s="22"/>
      <c r="F107" s="9"/>
      <c r="G107" s="41"/>
      <c r="H107" s="8"/>
      <c r="I107" s="8"/>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row>
    <row r="108" spans="1:114" s="46" customFormat="1" ht="16.5" customHeight="1" hidden="1">
      <c r="A108" s="153" t="s">
        <v>15</v>
      </c>
      <c r="B108" s="22">
        <f>SUM(B105:B107)</f>
        <v>3463</v>
      </c>
      <c r="C108" s="2"/>
      <c r="D108" s="23"/>
      <c r="E108" s="22"/>
      <c r="F108" s="9"/>
      <c r="G108" s="41"/>
      <c r="H108" s="8"/>
      <c r="I108" s="8"/>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row>
    <row r="109" spans="1:114" s="46" customFormat="1" ht="17.25" customHeight="1" hidden="1">
      <c r="A109" s="164" t="s">
        <v>23</v>
      </c>
      <c r="B109" s="63">
        <v>60</v>
      </c>
      <c r="C109" s="152" t="s">
        <v>33</v>
      </c>
      <c r="D109" s="63">
        <v>149639.87</v>
      </c>
      <c r="E109" s="85" t="s">
        <v>32</v>
      </c>
      <c r="F109" s="6"/>
      <c r="G109" s="41"/>
      <c r="H109" s="61"/>
      <c r="I109" s="8"/>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row>
    <row r="110" spans="1:114" s="46" customFormat="1" ht="17.25" customHeight="1" hidden="1">
      <c r="A110" s="164" t="s">
        <v>23</v>
      </c>
      <c r="B110" s="63">
        <v>3951.33</v>
      </c>
      <c r="C110" s="152" t="s">
        <v>34</v>
      </c>
      <c r="D110" s="63"/>
      <c r="E110" s="85"/>
      <c r="F110" s="6"/>
      <c r="G110" s="41"/>
      <c r="H110" s="61"/>
      <c r="I110" s="8"/>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row>
    <row r="111" spans="1:114" s="46" customFormat="1" ht="24" customHeight="1">
      <c r="A111" s="254" t="s">
        <v>27</v>
      </c>
      <c r="B111" s="278"/>
      <c r="C111" s="156" t="s">
        <v>81</v>
      </c>
      <c r="D111" s="144">
        <v>673.92</v>
      </c>
      <c r="E111" s="105" t="s">
        <v>91</v>
      </c>
      <c r="F111" s="115"/>
      <c r="G111" s="119"/>
      <c r="H111" s="61"/>
      <c r="I111" s="8"/>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row>
    <row r="112" spans="1:114" s="46" customFormat="1" ht="20.25" customHeight="1">
      <c r="A112" s="260"/>
      <c r="B112" s="279"/>
      <c r="C112" s="128" t="s">
        <v>81</v>
      </c>
      <c r="D112" s="109">
        <v>1280.45</v>
      </c>
      <c r="E112" s="59" t="s">
        <v>92</v>
      </c>
      <c r="F112" s="115"/>
      <c r="G112" s="119"/>
      <c r="H112" s="61"/>
      <c r="I112" s="8"/>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row>
    <row r="113" spans="1:114" s="46" customFormat="1" ht="80.25" customHeight="1">
      <c r="A113" s="260"/>
      <c r="B113" s="279"/>
      <c r="C113" s="128" t="s">
        <v>127</v>
      </c>
      <c r="D113" s="109">
        <f>26825+7776.26+1974.78+13772.35</f>
        <v>50348.39</v>
      </c>
      <c r="E113" s="105" t="s">
        <v>87</v>
      </c>
      <c r="F113" s="115"/>
      <c r="G113" s="119"/>
      <c r="H113" s="61"/>
      <c r="I113" s="8"/>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row>
    <row r="114" spans="1:9" ht="29.25" customHeight="1">
      <c r="A114" s="260"/>
      <c r="B114" s="279"/>
      <c r="C114" s="156" t="s">
        <v>138</v>
      </c>
      <c r="D114" s="109">
        <f>1898+160+60</f>
        <v>2118</v>
      </c>
      <c r="E114" s="122" t="s">
        <v>108</v>
      </c>
      <c r="F114" s="281"/>
      <c r="G114" s="268"/>
      <c r="H114" s="57"/>
      <c r="I114" s="14"/>
    </row>
    <row r="115" spans="1:9" ht="20.25" customHeight="1">
      <c r="A115" s="260"/>
      <c r="B115" s="279"/>
      <c r="C115" s="156"/>
      <c r="D115" s="109"/>
      <c r="E115" s="109"/>
      <c r="F115" s="283"/>
      <c r="G115" s="269"/>
      <c r="H115" s="57"/>
      <c r="I115" s="104"/>
    </row>
    <row r="116" spans="1:114" s="46" customFormat="1" ht="19.5" customHeight="1">
      <c r="A116" s="153" t="s">
        <v>15</v>
      </c>
      <c r="B116" s="52">
        <f>SUM(B111:B111)</f>
        <v>0</v>
      </c>
      <c r="C116" s="158"/>
      <c r="D116" s="22">
        <f>SUM(D111:D115)</f>
        <v>54420.76</v>
      </c>
      <c r="E116" s="23"/>
      <c r="F116" s="10">
        <f>F114</f>
        <v>0</v>
      </c>
      <c r="G116" s="41"/>
      <c r="H116" s="8">
        <f>SUM(H114:H115)</f>
        <v>0</v>
      </c>
      <c r="I116" s="33"/>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row>
    <row r="117" spans="1:114" s="46" customFormat="1" ht="36.75" customHeight="1">
      <c r="A117" s="254" t="s">
        <v>74</v>
      </c>
      <c r="B117" s="278"/>
      <c r="C117" s="152" t="s">
        <v>164</v>
      </c>
      <c r="D117" s="60">
        <v>50998.33</v>
      </c>
      <c r="E117" s="105" t="s">
        <v>87</v>
      </c>
      <c r="F117" s="281"/>
      <c r="G117" s="268"/>
      <c r="H117" s="57"/>
      <c r="I117" s="14"/>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row>
    <row r="118" spans="1:9" ht="16.5" customHeight="1">
      <c r="A118" s="255"/>
      <c r="B118" s="280"/>
      <c r="C118" s="152"/>
      <c r="D118" s="60"/>
      <c r="E118" s="122"/>
      <c r="F118" s="283"/>
      <c r="G118" s="269"/>
      <c r="H118" s="60"/>
      <c r="I118" s="94"/>
    </row>
    <row r="119" spans="1:114" s="46" customFormat="1" ht="25.5" customHeight="1">
      <c r="A119" s="153" t="s">
        <v>15</v>
      </c>
      <c r="B119" s="39">
        <f>SUM(B117:B117)</f>
        <v>0</v>
      </c>
      <c r="C119" s="3"/>
      <c r="D119" s="22">
        <f>SUM(D117:D118)</f>
        <v>50998.33</v>
      </c>
      <c r="E119" s="23"/>
      <c r="F119" s="10">
        <f>F117</f>
        <v>0</v>
      </c>
      <c r="G119" s="41"/>
      <c r="H119" s="8">
        <f>SUM(H117:H118)</f>
        <v>0</v>
      </c>
      <c r="I119" s="33"/>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row>
    <row r="120" spans="1:114" s="46" customFormat="1" ht="24.75" customHeight="1">
      <c r="A120" s="254" t="s">
        <v>75</v>
      </c>
      <c r="B120" s="278"/>
      <c r="C120" s="156" t="s">
        <v>81</v>
      </c>
      <c r="D120" s="144">
        <v>1305.72</v>
      </c>
      <c r="E120" s="105" t="s">
        <v>91</v>
      </c>
      <c r="F120" s="281"/>
      <c r="G120" s="268"/>
      <c r="H120" s="57"/>
      <c r="I120" s="14"/>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row>
    <row r="121" spans="1:114" s="46" customFormat="1" ht="26.25" customHeight="1">
      <c r="A121" s="260"/>
      <c r="B121" s="279"/>
      <c r="C121" s="128" t="s">
        <v>81</v>
      </c>
      <c r="D121" s="109">
        <v>1280.45</v>
      </c>
      <c r="E121" s="59" t="s">
        <v>92</v>
      </c>
      <c r="F121" s="282"/>
      <c r="G121" s="271"/>
      <c r="H121" s="57"/>
      <c r="I121" s="14"/>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row>
    <row r="122" spans="1:114" s="46" customFormat="1" ht="96" customHeight="1">
      <c r="A122" s="260"/>
      <c r="B122" s="279"/>
      <c r="C122" s="137" t="s">
        <v>167</v>
      </c>
      <c r="D122" s="109">
        <f>26825+7776.26+1974.78+17370.35+50998.33</f>
        <v>104944.72</v>
      </c>
      <c r="E122" s="105" t="s">
        <v>87</v>
      </c>
      <c r="F122" s="282"/>
      <c r="G122" s="271"/>
      <c r="H122" s="57"/>
      <c r="I122" s="14"/>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row>
    <row r="123" spans="1:114" s="46" customFormat="1" ht="33.75" customHeight="1">
      <c r="A123" s="260"/>
      <c r="B123" s="279"/>
      <c r="C123" s="137" t="s">
        <v>156</v>
      </c>
      <c r="D123" s="109">
        <f>480+100</f>
        <v>580</v>
      </c>
      <c r="E123" s="138" t="s">
        <v>108</v>
      </c>
      <c r="F123" s="282"/>
      <c r="G123" s="271"/>
      <c r="H123" s="57"/>
      <c r="I123" s="14"/>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row>
    <row r="124" spans="1:114" s="46" customFormat="1" ht="7.5" customHeight="1">
      <c r="A124" s="260"/>
      <c r="B124" s="279"/>
      <c r="C124" s="156"/>
      <c r="D124" s="122"/>
      <c r="E124" s="105"/>
      <c r="F124" s="282"/>
      <c r="G124" s="271"/>
      <c r="H124" s="57"/>
      <c r="I124" s="14"/>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row>
    <row r="125" spans="1:9" ht="9.75" customHeight="1">
      <c r="A125" s="255"/>
      <c r="B125" s="280"/>
      <c r="C125" s="116"/>
      <c r="D125" s="122"/>
      <c r="E125" s="105"/>
      <c r="F125" s="283"/>
      <c r="G125" s="269"/>
      <c r="H125" s="57"/>
      <c r="I125" s="14"/>
    </row>
    <row r="126" spans="1:114" s="46" customFormat="1" ht="20.25" customHeight="1">
      <c r="A126" s="153" t="s">
        <v>15</v>
      </c>
      <c r="B126" s="39">
        <f>SUM(B120:B125)</f>
        <v>0</v>
      </c>
      <c r="C126" s="3"/>
      <c r="D126" s="22">
        <f>SUM(D120:D125)</f>
        <v>108110.89</v>
      </c>
      <c r="E126" s="23"/>
      <c r="F126" s="10">
        <f>F120</f>
        <v>0</v>
      </c>
      <c r="G126" s="41"/>
      <c r="H126" s="8">
        <f>SUM(H120:H125)</f>
        <v>0</v>
      </c>
      <c r="I126" s="33"/>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row>
    <row r="127" spans="1:114" s="46" customFormat="1" ht="23.25" customHeight="1" hidden="1">
      <c r="A127" s="254" t="s">
        <v>76</v>
      </c>
      <c r="B127" s="278">
        <f>791.2+2245.96+562+806</f>
        <v>4405.16</v>
      </c>
      <c r="C127" s="152"/>
      <c r="D127" s="59"/>
      <c r="E127" s="86"/>
      <c r="F127" s="281"/>
      <c r="G127" s="268"/>
      <c r="H127" s="8"/>
      <c r="I127" s="33"/>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row>
    <row r="128" spans="1:114" s="46" customFormat="1" ht="182.25" customHeight="1">
      <c r="A128" s="260"/>
      <c r="B128" s="279"/>
      <c r="C128" s="162" t="s">
        <v>168</v>
      </c>
      <c r="D128" s="122">
        <f>33517.38+22321.38+32190+7776.26+1974.78+40315.36+13772.35+79120+60051</f>
        <v>291038.51</v>
      </c>
      <c r="E128" s="105" t="s">
        <v>87</v>
      </c>
      <c r="F128" s="282"/>
      <c r="G128" s="271"/>
      <c r="H128" s="8"/>
      <c r="I128" s="120"/>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row>
    <row r="129" spans="1:114" s="46" customFormat="1" ht="19.5" customHeight="1">
      <c r="A129" s="260"/>
      <c r="B129" s="279"/>
      <c r="C129" s="128" t="s">
        <v>29</v>
      </c>
      <c r="D129" s="109"/>
      <c r="E129" s="122"/>
      <c r="F129" s="282"/>
      <c r="G129" s="271"/>
      <c r="H129" s="8"/>
      <c r="I129" s="120"/>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row>
    <row r="130" spans="1:114" s="46" customFormat="1" ht="141.75" customHeight="1">
      <c r="A130" s="260"/>
      <c r="B130" s="279"/>
      <c r="C130" s="156" t="s">
        <v>106</v>
      </c>
      <c r="D130" s="122">
        <v>142506</v>
      </c>
      <c r="E130" s="105" t="s">
        <v>80</v>
      </c>
      <c r="F130" s="282"/>
      <c r="G130" s="271"/>
      <c r="H130" s="8"/>
      <c r="I130" s="120"/>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row>
    <row r="131" spans="1:114" s="46" customFormat="1" ht="218.25" customHeight="1">
      <c r="A131" s="260"/>
      <c r="B131" s="279"/>
      <c r="C131" s="146" t="s">
        <v>158</v>
      </c>
      <c r="D131" s="109">
        <v>402168.72</v>
      </c>
      <c r="E131" s="106" t="s">
        <v>132</v>
      </c>
      <c r="F131" s="282"/>
      <c r="G131" s="271"/>
      <c r="H131" s="8"/>
      <c r="I131" s="120"/>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row>
    <row r="132" spans="1:114" s="46" customFormat="1" ht="41.25" customHeight="1">
      <c r="A132" s="260"/>
      <c r="B132" s="279"/>
      <c r="C132" s="156" t="s">
        <v>157</v>
      </c>
      <c r="D132" s="122">
        <f>750+240+6175</f>
        <v>7165</v>
      </c>
      <c r="E132" s="105" t="s">
        <v>108</v>
      </c>
      <c r="F132" s="282"/>
      <c r="G132" s="271"/>
      <c r="H132" s="8"/>
      <c r="I132" s="120"/>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row>
    <row r="133" spans="1:114" s="46" customFormat="1" ht="41.25" customHeight="1">
      <c r="A133" s="260"/>
      <c r="B133" s="279"/>
      <c r="C133" s="165" t="s">
        <v>160</v>
      </c>
      <c r="D133" s="122">
        <v>245480.54</v>
      </c>
      <c r="E133" s="172" t="s">
        <v>159</v>
      </c>
      <c r="F133" s="282"/>
      <c r="G133" s="271"/>
      <c r="H133" s="8"/>
      <c r="I133" s="120"/>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row>
    <row r="134" spans="1:114" s="46" customFormat="1" ht="24.75" customHeight="1">
      <c r="A134" s="260"/>
      <c r="B134" s="279"/>
      <c r="C134" s="165" t="s">
        <v>113</v>
      </c>
      <c r="D134" s="109">
        <f>1082.18</f>
        <v>1082.18</v>
      </c>
      <c r="E134" s="122" t="s">
        <v>112</v>
      </c>
      <c r="F134" s="282"/>
      <c r="G134" s="271"/>
      <c r="H134" s="8"/>
      <c r="I134" s="120"/>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row>
    <row r="135" spans="1:114" s="46" customFormat="1" ht="45" customHeight="1">
      <c r="A135" s="260"/>
      <c r="B135" s="279"/>
      <c r="C135" s="165" t="s">
        <v>111</v>
      </c>
      <c r="D135" s="109">
        <f>87150+800</f>
        <v>87950</v>
      </c>
      <c r="E135" s="122" t="s">
        <v>110</v>
      </c>
      <c r="F135" s="282"/>
      <c r="G135" s="271"/>
      <c r="H135" s="8"/>
      <c r="I135" s="120"/>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row>
    <row r="136" spans="1:114" s="46" customFormat="1" ht="24" customHeight="1">
      <c r="A136" s="153" t="s">
        <v>15</v>
      </c>
      <c r="B136" s="52">
        <f>SUM(B127:B127)</f>
        <v>4405.16</v>
      </c>
      <c r="C136" s="152"/>
      <c r="D136" s="22">
        <f>SUM(D128:D135)</f>
        <v>1177390.95</v>
      </c>
      <c r="E136" s="60"/>
      <c r="F136" s="10">
        <f>F127</f>
        <v>0</v>
      </c>
      <c r="G136" s="41"/>
      <c r="H136" s="50">
        <f>SUM(H127:H135)</f>
        <v>0</v>
      </c>
      <c r="I136" s="33"/>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row>
    <row r="137" spans="1:114" s="46" customFormat="1" ht="29.25" customHeight="1">
      <c r="A137" s="277" t="s">
        <v>37</v>
      </c>
      <c r="B137" s="278"/>
      <c r="C137" s="156" t="s">
        <v>81</v>
      </c>
      <c r="D137" s="144">
        <v>1305.72</v>
      </c>
      <c r="E137" s="105" t="s">
        <v>91</v>
      </c>
      <c r="F137" s="266"/>
      <c r="G137" s="268"/>
      <c r="H137" s="57"/>
      <c r="I137" s="14"/>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row>
    <row r="138" spans="1:114" s="46" customFormat="1" ht="20.25" customHeight="1">
      <c r="A138" s="277"/>
      <c r="B138" s="279"/>
      <c r="C138" s="128" t="s">
        <v>81</v>
      </c>
      <c r="D138" s="109">
        <v>1280.45</v>
      </c>
      <c r="E138" s="59" t="s">
        <v>92</v>
      </c>
      <c r="F138" s="270"/>
      <c r="G138" s="271"/>
      <c r="H138" s="57"/>
      <c r="I138" s="14"/>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row>
    <row r="139" spans="1:114" s="46" customFormat="1" ht="68.25" customHeight="1">
      <c r="A139" s="277"/>
      <c r="B139" s="279"/>
      <c r="C139" s="165" t="s">
        <v>123</v>
      </c>
      <c r="D139" s="122">
        <f>2729.6+1974.78+20217.91</f>
        <v>24922.29</v>
      </c>
      <c r="E139" s="105" t="s">
        <v>87</v>
      </c>
      <c r="F139" s="270"/>
      <c r="G139" s="271"/>
      <c r="H139" s="57"/>
      <c r="I139" s="14"/>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row>
    <row r="140" spans="1:114" s="46" customFormat="1" ht="27" customHeight="1">
      <c r="A140" s="277"/>
      <c r="B140" s="279"/>
      <c r="C140" s="156" t="s">
        <v>120</v>
      </c>
      <c r="D140" s="122">
        <v>240</v>
      </c>
      <c r="E140" s="105" t="s">
        <v>108</v>
      </c>
      <c r="F140" s="270"/>
      <c r="G140" s="271"/>
      <c r="H140" s="57"/>
      <c r="I140" s="14"/>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row>
    <row r="141" spans="1:114" s="46" customFormat="1" ht="16.5" customHeight="1">
      <c r="A141" s="277"/>
      <c r="B141" s="280"/>
      <c r="C141" s="128"/>
      <c r="D141" s="109"/>
      <c r="E141" s="122"/>
      <c r="F141" s="267"/>
      <c r="G141" s="269"/>
      <c r="H141" s="61"/>
      <c r="I141" s="8"/>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row>
    <row r="142" spans="1:114" s="46" customFormat="1" ht="19.5" customHeight="1">
      <c r="A142" s="153" t="s">
        <v>15</v>
      </c>
      <c r="B142" s="64">
        <f>B137</f>
        <v>0</v>
      </c>
      <c r="C142" s="2"/>
      <c r="D142" s="64">
        <f>SUM(D137:D141)</f>
        <v>27748.46</v>
      </c>
      <c r="E142" s="22"/>
      <c r="F142" s="9">
        <f>F137</f>
        <v>0</v>
      </c>
      <c r="G142" s="41"/>
      <c r="H142" s="8">
        <f>SUM(H137:H141)</f>
        <v>0</v>
      </c>
      <c r="I142" s="8"/>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row>
    <row r="143" spans="1:114" s="46" customFormat="1" ht="94.5" customHeight="1">
      <c r="A143" s="254" t="s">
        <v>53</v>
      </c>
      <c r="B143" s="261"/>
      <c r="C143" s="156" t="s">
        <v>170</v>
      </c>
      <c r="D143" s="122">
        <f>1974.78+26331.26+35853</f>
        <v>64159.03999999999</v>
      </c>
      <c r="E143" s="105" t="s">
        <v>87</v>
      </c>
      <c r="F143" s="266"/>
      <c r="G143" s="268"/>
      <c r="H143" s="8"/>
      <c r="I143" s="8"/>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row>
    <row r="144" spans="1:114" s="46" customFormat="1" ht="58.5" customHeight="1">
      <c r="A144" s="260"/>
      <c r="B144" s="262"/>
      <c r="C144" s="158" t="s">
        <v>161</v>
      </c>
      <c r="D144" s="122">
        <f>7740+6552+420</f>
        <v>14712</v>
      </c>
      <c r="E144" s="122" t="s">
        <v>108</v>
      </c>
      <c r="F144" s="270"/>
      <c r="G144" s="271"/>
      <c r="H144" s="8"/>
      <c r="I144" s="8"/>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row>
    <row r="145" spans="1:114" s="46" customFormat="1" ht="19.5" customHeight="1">
      <c r="A145" s="260"/>
      <c r="B145" s="262"/>
      <c r="C145" s="158" t="s">
        <v>134</v>
      </c>
      <c r="D145" s="122">
        <v>4320</v>
      </c>
      <c r="E145" s="106" t="s">
        <v>141</v>
      </c>
      <c r="F145" s="267"/>
      <c r="G145" s="269"/>
      <c r="H145" s="61"/>
      <c r="I145" s="8"/>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row>
    <row r="146" spans="1:114" s="46" customFormat="1" ht="21" customHeight="1">
      <c r="A146" s="153" t="s">
        <v>15</v>
      </c>
      <c r="B146" s="64">
        <f>SUM(B143)</f>
        <v>0</v>
      </c>
      <c r="C146" s="2"/>
      <c r="D146" s="64">
        <f>SUM(D143:D145)</f>
        <v>83191.04</v>
      </c>
      <c r="E146" s="22"/>
      <c r="F146" s="9">
        <f>F143</f>
        <v>0</v>
      </c>
      <c r="G146" s="41"/>
      <c r="H146" s="8">
        <f>SUM(H143:H145)</f>
        <v>0</v>
      </c>
      <c r="I146" s="8"/>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row>
    <row r="147" spans="1:114" s="46" customFormat="1" ht="33.75" customHeight="1">
      <c r="A147" s="254" t="s">
        <v>77</v>
      </c>
      <c r="B147" s="261"/>
      <c r="C147" s="152" t="s">
        <v>164</v>
      </c>
      <c r="D147" s="59">
        <v>50998.33</v>
      </c>
      <c r="E147" s="105" t="s">
        <v>87</v>
      </c>
      <c r="F147" s="9"/>
      <c r="G147" s="41"/>
      <c r="H147" s="8"/>
      <c r="I147" s="8"/>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row>
    <row r="148" spans="1:114" s="46" customFormat="1" ht="20.25" customHeight="1">
      <c r="A148" s="255"/>
      <c r="B148" s="265"/>
      <c r="C148" s="166"/>
      <c r="D148" s="131"/>
      <c r="E148" s="109"/>
      <c r="F148" s="170"/>
      <c r="G148" s="110"/>
      <c r="H148" s="8"/>
      <c r="I148" s="8"/>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row>
    <row r="149" spans="1:114" s="46" customFormat="1" ht="19.5" customHeight="1">
      <c r="A149" s="153" t="s">
        <v>15</v>
      </c>
      <c r="B149" s="22">
        <f>SUM(B147)</f>
        <v>0</v>
      </c>
      <c r="C149" s="2"/>
      <c r="D149" s="23">
        <f>SUM(D147:D148)</f>
        <v>50998.33</v>
      </c>
      <c r="E149" s="103"/>
      <c r="F149" s="9"/>
      <c r="G149" s="41"/>
      <c r="H149" s="8">
        <f>SUM(H148:H148)</f>
        <v>0</v>
      </c>
      <c r="I149" s="8"/>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row>
    <row r="150" spans="1:114" s="46" customFormat="1" ht="33.75" customHeight="1">
      <c r="A150" s="254" t="s">
        <v>38</v>
      </c>
      <c r="B150" s="261"/>
      <c r="C150" s="152" t="s">
        <v>164</v>
      </c>
      <c r="D150" s="59">
        <v>50998.33</v>
      </c>
      <c r="E150" s="105" t="s">
        <v>87</v>
      </c>
      <c r="F150" s="266"/>
      <c r="G150" s="268"/>
      <c r="H150" s="57"/>
      <c r="I150" s="14"/>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row>
    <row r="151" spans="1:114" s="46" customFormat="1" ht="15.75" customHeight="1">
      <c r="A151" s="255"/>
      <c r="B151" s="265"/>
      <c r="C151" s="152"/>
      <c r="D151" s="83"/>
      <c r="E151" s="122"/>
      <c r="F151" s="267"/>
      <c r="G151" s="269"/>
      <c r="H151" s="8"/>
      <c r="I151" s="8"/>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row>
    <row r="152" spans="1:114" s="46" customFormat="1" ht="19.5" customHeight="1">
      <c r="A152" s="153" t="s">
        <v>15</v>
      </c>
      <c r="B152" s="22">
        <f>B150</f>
        <v>0</v>
      </c>
      <c r="C152" s="2"/>
      <c r="D152" s="23">
        <f>D150+D151</f>
        <v>50998.33</v>
      </c>
      <c r="E152" s="59"/>
      <c r="F152" s="9">
        <f>F150</f>
        <v>0</v>
      </c>
      <c r="G152" s="41"/>
      <c r="H152" s="8">
        <f>SUM(H150:H151)</f>
        <v>0</v>
      </c>
      <c r="I152" s="8"/>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row>
    <row r="153" spans="1:114" s="46" customFormat="1" ht="84" customHeight="1">
      <c r="A153" s="254" t="s">
        <v>56</v>
      </c>
      <c r="B153" s="261">
        <f>150+63.25</f>
        <v>213.25</v>
      </c>
      <c r="C153" s="128" t="s">
        <v>124</v>
      </c>
      <c r="D153" s="60">
        <f>5046.66+1974.78+26368.76</f>
        <v>33390.2</v>
      </c>
      <c r="E153" s="105" t="s">
        <v>87</v>
      </c>
      <c r="F153" s="266"/>
      <c r="G153" s="274"/>
      <c r="H153" s="57"/>
      <c r="I153" s="14"/>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row>
    <row r="154" spans="1:114" s="46" customFormat="1" ht="19.5" customHeight="1">
      <c r="A154" s="260"/>
      <c r="B154" s="262"/>
      <c r="C154" s="149" t="s">
        <v>118</v>
      </c>
      <c r="D154" s="60"/>
      <c r="E154" s="105"/>
      <c r="F154" s="270"/>
      <c r="G154" s="275"/>
      <c r="H154" s="57"/>
      <c r="I154" s="14"/>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row>
    <row r="155" spans="1:114" s="46" customFormat="1" ht="53.25" customHeight="1">
      <c r="A155" s="255"/>
      <c r="B155" s="265"/>
      <c r="C155" s="114" t="s">
        <v>162</v>
      </c>
      <c r="D155" s="82">
        <f>7740+6242</f>
        <v>13982</v>
      </c>
      <c r="E155" s="59" t="s">
        <v>131</v>
      </c>
      <c r="F155" s="267"/>
      <c r="G155" s="276"/>
      <c r="H155" s="8"/>
      <c r="I155" s="8"/>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row>
    <row r="156" spans="1:114" s="46" customFormat="1" ht="21.75" customHeight="1">
      <c r="A156" s="153" t="s">
        <v>15</v>
      </c>
      <c r="B156" s="22">
        <f>B153</f>
        <v>213.25</v>
      </c>
      <c r="C156" s="2"/>
      <c r="D156" s="23">
        <f>SUM(D153:D155)</f>
        <v>47372.2</v>
      </c>
      <c r="E156" s="59"/>
      <c r="F156" s="9">
        <f>F153</f>
        <v>0</v>
      </c>
      <c r="G156" s="41"/>
      <c r="H156" s="8">
        <f>SUM(H153:H155)</f>
        <v>0</v>
      </c>
      <c r="I156" s="8"/>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row>
    <row r="157" spans="1:114" s="46" customFormat="1" ht="21" customHeight="1">
      <c r="A157" s="254" t="s">
        <v>78</v>
      </c>
      <c r="B157" s="261"/>
      <c r="C157" s="156" t="s">
        <v>81</v>
      </c>
      <c r="D157" s="144">
        <v>673.92</v>
      </c>
      <c r="E157" s="105" t="s">
        <v>91</v>
      </c>
      <c r="F157" s="126"/>
      <c r="G157" s="119"/>
      <c r="H157" s="8"/>
      <c r="I157" s="8"/>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row>
    <row r="158" spans="1:114" s="46" customFormat="1" ht="24.75" customHeight="1">
      <c r="A158" s="260"/>
      <c r="B158" s="262"/>
      <c r="C158" s="128" t="s">
        <v>81</v>
      </c>
      <c r="D158" s="109">
        <v>2560.9</v>
      </c>
      <c r="E158" s="59" t="s">
        <v>92</v>
      </c>
      <c r="F158" s="126"/>
      <c r="G158" s="119"/>
      <c r="H158" s="8"/>
      <c r="I158" s="8"/>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row>
    <row r="159" spans="1:114" s="46" customFormat="1" ht="54" customHeight="1">
      <c r="A159" s="260"/>
      <c r="B159" s="262"/>
      <c r="C159" s="136" t="s">
        <v>93</v>
      </c>
      <c r="D159" s="131">
        <v>165000</v>
      </c>
      <c r="E159" s="135" t="s">
        <v>97</v>
      </c>
      <c r="F159" s="126"/>
      <c r="G159" s="119"/>
      <c r="H159" s="8"/>
      <c r="I159" s="8"/>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row>
    <row r="160" spans="1:114" s="46" customFormat="1" ht="66" customHeight="1">
      <c r="A160" s="260"/>
      <c r="B160" s="262"/>
      <c r="C160" s="128" t="s">
        <v>125</v>
      </c>
      <c r="D160" s="148">
        <f>26825+2729.6+1974.78+13772.35</f>
        <v>45301.729999999996</v>
      </c>
      <c r="E160" s="105" t="s">
        <v>87</v>
      </c>
      <c r="F160" s="266"/>
      <c r="G160" s="268"/>
      <c r="H160" s="59"/>
      <c r="I160" s="94"/>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row>
    <row r="161" spans="1:114" s="46" customFormat="1" ht="22.5" customHeight="1">
      <c r="A161" s="260"/>
      <c r="B161" s="262"/>
      <c r="C161" s="156" t="s">
        <v>143</v>
      </c>
      <c r="D161" s="122">
        <f>75+544</f>
        <v>619</v>
      </c>
      <c r="E161" s="105" t="s">
        <v>108</v>
      </c>
      <c r="F161" s="270"/>
      <c r="G161" s="271"/>
      <c r="H161" s="59"/>
      <c r="I161" s="94"/>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row>
    <row r="162" spans="1:114" s="46" customFormat="1" ht="15.75">
      <c r="A162" s="255"/>
      <c r="B162" s="265"/>
      <c r="C162" s="162"/>
      <c r="D162" s="122"/>
      <c r="E162" s="105"/>
      <c r="F162" s="267"/>
      <c r="G162" s="269"/>
      <c r="H162" s="8"/>
      <c r="I162" s="8"/>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row>
    <row r="163" spans="1:114" s="46" customFormat="1" ht="19.5" customHeight="1">
      <c r="A163" s="153" t="s">
        <v>15</v>
      </c>
      <c r="B163" s="22">
        <f>SUM(B157)</f>
        <v>0</v>
      </c>
      <c r="C163" s="2"/>
      <c r="D163" s="23">
        <f>SUM(D157:D162)</f>
        <v>214155.55</v>
      </c>
      <c r="E163" s="59"/>
      <c r="F163" s="9">
        <f>F160</f>
        <v>0</v>
      </c>
      <c r="G163" s="41"/>
      <c r="H163" s="8">
        <f>SUM(H160:H162)</f>
        <v>0</v>
      </c>
      <c r="I163" s="8"/>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row>
    <row r="164" spans="1:114" s="46" customFormat="1" ht="20.25" customHeight="1" hidden="1">
      <c r="A164" s="254" t="s">
        <v>39</v>
      </c>
      <c r="B164" s="261"/>
      <c r="C164" s="272"/>
      <c r="D164" s="83"/>
      <c r="E164" s="16"/>
      <c r="F164" s="266"/>
      <c r="G164" s="268"/>
      <c r="H164" s="57"/>
      <c r="I164" s="14"/>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row>
    <row r="165" spans="1:114" s="46" customFormat="1" ht="0.75" customHeight="1" hidden="1">
      <c r="A165" s="260"/>
      <c r="B165" s="262"/>
      <c r="C165" s="273"/>
      <c r="D165" s="88"/>
      <c r="E165" s="88"/>
      <c r="F165" s="270"/>
      <c r="G165" s="271"/>
      <c r="H165" s="8"/>
      <c r="I165" s="8"/>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row>
    <row r="166" spans="1:114" s="46" customFormat="1" ht="20.25" customHeight="1" hidden="1">
      <c r="A166" s="255"/>
      <c r="B166" s="265"/>
      <c r="C166" s="152"/>
      <c r="D166" s="59"/>
      <c r="E166" s="78"/>
      <c r="F166" s="267"/>
      <c r="G166" s="269"/>
      <c r="H166" s="8"/>
      <c r="I166" s="8"/>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row>
    <row r="167" spans="1:114" s="46" customFormat="1" ht="19.5" customHeight="1" hidden="1">
      <c r="A167" s="153" t="s">
        <v>15</v>
      </c>
      <c r="B167" s="22">
        <f>SUM(B164)</f>
        <v>0</v>
      </c>
      <c r="C167" s="2"/>
      <c r="D167" s="23">
        <f>SUM(D164:D166)</f>
        <v>0</v>
      </c>
      <c r="E167" s="59"/>
      <c r="F167" s="9">
        <f>F164</f>
        <v>0</v>
      </c>
      <c r="G167" s="41"/>
      <c r="H167" s="8">
        <f>SUM(H164:H166)</f>
        <v>0</v>
      </c>
      <c r="I167" s="8"/>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row>
    <row r="168" spans="1:114" s="46" customFormat="1" ht="27.75" customHeight="1">
      <c r="A168" s="254" t="s">
        <v>40</v>
      </c>
      <c r="B168" s="261"/>
      <c r="C168" s="156" t="s">
        <v>81</v>
      </c>
      <c r="D168" s="144">
        <v>673.92</v>
      </c>
      <c r="E168" s="105" t="s">
        <v>91</v>
      </c>
      <c r="F168" s="126"/>
      <c r="G168" s="119"/>
      <c r="H168" s="8"/>
      <c r="I168" s="8"/>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row>
    <row r="169" spans="1:114" s="46" customFormat="1" ht="24.75" customHeight="1">
      <c r="A169" s="260"/>
      <c r="B169" s="262"/>
      <c r="C169" s="128" t="s">
        <v>81</v>
      </c>
      <c r="D169" s="109">
        <v>1920.47</v>
      </c>
      <c r="E169" s="59" t="s">
        <v>92</v>
      </c>
      <c r="F169" s="126"/>
      <c r="G169" s="119"/>
      <c r="H169" s="8"/>
      <c r="I169" s="8"/>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row>
    <row r="170" spans="1:114" s="46" customFormat="1" ht="61.5" customHeight="1">
      <c r="A170" s="260"/>
      <c r="B170" s="262"/>
      <c r="C170" s="136" t="s">
        <v>93</v>
      </c>
      <c r="D170" s="131">
        <v>165000</v>
      </c>
      <c r="E170" s="135" t="s">
        <v>97</v>
      </c>
      <c r="F170" s="266"/>
      <c r="G170" s="268"/>
      <c r="H170" s="57"/>
      <c r="I170" s="14"/>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row>
    <row r="171" spans="1:114" s="46" customFormat="1" ht="69.75" customHeight="1">
      <c r="A171" s="260"/>
      <c r="B171" s="262"/>
      <c r="C171" s="128" t="s">
        <v>125</v>
      </c>
      <c r="D171" s="148">
        <f>26825+2729.6+1974.78+13772.35</f>
        <v>45301.729999999996</v>
      </c>
      <c r="E171" s="105" t="s">
        <v>87</v>
      </c>
      <c r="F171" s="270"/>
      <c r="G171" s="271"/>
      <c r="H171" s="57"/>
      <c r="I171" s="14"/>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row>
    <row r="172" spans="1:114" s="46" customFormat="1" ht="22.5" customHeight="1">
      <c r="A172" s="260"/>
      <c r="B172" s="262"/>
      <c r="C172" s="156" t="s">
        <v>81</v>
      </c>
      <c r="D172" s="122">
        <v>960</v>
      </c>
      <c r="E172" s="105" t="s">
        <v>117</v>
      </c>
      <c r="F172" s="270"/>
      <c r="G172" s="271"/>
      <c r="H172" s="57"/>
      <c r="I172" s="14"/>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row>
    <row r="173" spans="1:114" s="46" customFormat="1" ht="27" customHeight="1">
      <c r="A173" s="260"/>
      <c r="B173" s="262"/>
      <c r="C173" s="165" t="s">
        <v>155</v>
      </c>
      <c r="D173" s="131">
        <v>40</v>
      </c>
      <c r="E173" s="105" t="s">
        <v>108</v>
      </c>
      <c r="F173" s="270"/>
      <c r="G173" s="271"/>
      <c r="H173" s="57"/>
      <c r="I173" s="14"/>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row>
    <row r="174" spans="1:114" s="46" customFormat="1" ht="20.25" customHeight="1">
      <c r="A174" s="255"/>
      <c r="B174" s="265"/>
      <c r="C174" s="156"/>
      <c r="D174" s="122"/>
      <c r="E174" s="109"/>
      <c r="F174" s="267"/>
      <c r="G174" s="269"/>
      <c r="H174" s="8"/>
      <c r="I174" s="8"/>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row>
    <row r="175" spans="1:114" s="46" customFormat="1" ht="21" customHeight="1">
      <c r="A175" s="153" t="s">
        <v>15</v>
      </c>
      <c r="B175" s="22">
        <f>SUM(B168)</f>
        <v>0</v>
      </c>
      <c r="C175" s="2"/>
      <c r="D175" s="23">
        <f>SUM(D168:D174)</f>
        <v>213896.12</v>
      </c>
      <c r="E175" s="103"/>
      <c r="F175" s="9">
        <f>F170</f>
        <v>0</v>
      </c>
      <c r="G175" s="41"/>
      <c r="H175" s="8">
        <f>SUM(H170:H174)</f>
        <v>0</v>
      </c>
      <c r="I175" s="8"/>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row>
    <row r="176" spans="1:114" s="46" customFormat="1" ht="36.75" customHeight="1">
      <c r="A176" s="254" t="s">
        <v>31</v>
      </c>
      <c r="B176" s="261"/>
      <c r="C176" s="152" t="s">
        <v>164</v>
      </c>
      <c r="D176" s="59">
        <v>50998.33</v>
      </c>
      <c r="E176" s="105" t="s">
        <v>87</v>
      </c>
      <c r="F176" s="266"/>
      <c r="G176" s="268"/>
      <c r="H176" s="57"/>
      <c r="I176" s="14"/>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row>
    <row r="177" spans="1:114" s="46" customFormat="1" ht="18" customHeight="1">
      <c r="A177" s="255"/>
      <c r="B177" s="265"/>
      <c r="C177" s="168"/>
      <c r="D177" s="59"/>
      <c r="E177" s="122"/>
      <c r="F177" s="267"/>
      <c r="G177" s="269"/>
      <c r="H177" s="8"/>
      <c r="I177" s="8"/>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row>
    <row r="178" spans="1:114" s="46" customFormat="1" ht="18.75" customHeight="1">
      <c r="A178" s="153" t="s">
        <v>15</v>
      </c>
      <c r="B178" s="22">
        <f>B176</f>
        <v>0</v>
      </c>
      <c r="C178" s="2"/>
      <c r="D178" s="23">
        <f>SUM(D176:D177)</f>
        <v>50998.33</v>
      </c>
      <c r="E178" s="22"/>
      <c r="F178" s="9">
        <f>F176</f>
        <v>0</v>
      </c>
      <c r="G178" s="41"/>
      <c r="H178" s="8">
        <f>SUM(H176:H177)</f>
        <v>0</v>
      </c>
      <c r="I178" s="8"/>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row>
    <row r="179" spans="1:114" s="46" customFormat="1" ht="80.25" customHeight="1">
      <c r="A179" s="254" t="s">
        <v>41</v>
      </c>
      <c r="B179" s="261">
        <v>420</v>
      </c>
      <c r="C179" s="156" t="s">
        <v>124</v>
      </c>
      <c r="D179" s="59">
        <f>5046.66+1974.78+26717.11</f>
        <v>33738.55</v>
      </c>
      <c r="E179" s="105" t="s">
        <v>87</v>
      </c>
      <c r="F179" s="266"/>
      <c r="G179" s="268"/>
      <c r="H179" s="8"/>
      <c r="I179" s="8"/>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row>
    <row r="180" spans="1:114" s="46" customFormat="1" ht="56.25" customHeight="1">
      <c r="A180" s="260"/>
      <c r="B180" s="262"/>
      <c r="C180" s="128" t="s">
        <v>163</v>
      </c>
      <c r="D180" s="109">
        <f>6420+8100+370</f>
        <v>14890</v>
      </c>
      <c r="E180" s="105" t="s">
        <v>108</v>
      </c>
      <c r="F180" s="270"/>
      <c r="G180" s="271"/>
      <c r="H180" s="8"/>
      <c r="I180" s="8"/>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row>
    <row r="181" spans="1:114" s="46" customFormat="1" ht="19.5" customHeight="1">
      <c r="A181" s="260"/>
      <c r="B181" s="262"/>
      <c r="C181" s="165" t="s">
        <v>118</v>
      </c>
      <c r="D181" s="109"/>
      <c r="E181" s="122"/>
      <c r="F181" s="270"/>
      <c r="G181" s="271"/>
      <c r="H181" s="8"/>
      <c r="I181" s="8"/>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row>
    <row r="182" spans="1:114" s="46" customFormat="1" ht="15" customHeight="1">
      <c r="A182" s="255"/>
      <c r="B182" s="265"/>
      <c r="C182" s="152"/>
      <c r="D182" s="82"/>
      <c r="E182" s="78"/>
      <c r="F182" s="267"/>
      <c r="G182" s="269"/>
      <c r="H182" s="59"/>
      <c r="I182" s="96"/>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row>
    <row r="183" spans="1:114" s="46" customFormat="1" ht="23.25" customHeight="1">
      <c r="A183" s="153" t="s">
        <v>15</v>
      </c>
      <c r="B183" s="22">
        <f>B179</f>
        <v>420</v>
      </c>
      <c r="C183" s="2"/>
      <c r="D183" s="23">
        <f>SUM(D179:D182)</f>
        <v>48628.55</v>
      </c>
      <c r="E183" s="103"/>
      <c r="F183" s="9">
        <f>F179</f>
        <v>0</v>
      </c>
      <c r="G183" s="41"/>
      <c r="H183" s="8">
        <f>SUM(H179:H182)</f>
        <v>0</v>
      </c>
      <c r="I183" s="8"/>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row>
    <row r="184" spans="1:114" s="46" customFormat="1" ht="38.25" customHeight="1">
      <c r="A184" s="258" t="s">
        <v>79</v>
      </c>
      <c r="B184" s="256"/>
      <c r="C184" s="21" t="s">
        <v>85</v>
      </c>
      <c r="D184" s="60">
        <v>413673.75</v>
      </c>
      <c r="E184" s="125" t="s">
        <v>86</v>
      </c>
      <c r="F184" s="9"/>
      <c r="G184" s="41"/>
      <c r="H184" s="8"/>
      <c r="I184" s="8"/>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row>
    <row r="185" spans="1:114" s="46" customFormat="1" ht="13.5" customHeight="1">
      <c r="A185" s="263"/>
      <c r="B185" s="264"/>
      <c r="C185" s="21"/>
      <c r="D185" s="60"/>
      <c r="E185" s="103"/>
      <c r="F185" s="9"/>
      <c r="G185" s="41"/>
      <c r="H185" s="8"/>
      <c r="I185" s="8"/>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row>
    <row r="186" spans="1:114" s="46" customFormat="1" ht="16.5" customHeight="1">
      <c r="A186" s="259"/>
      <c r="B186" s="257"/>
      <c r="C186" s="21"/>
      <c r="D186" s="60"/>
      <c r="E186" s="59"/>
      <c r="F186" s="12"/>
      <c r="G186" s="41"/>
      <c r="H186" s="5"/>
      <c r="I186" s="14"/>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row>
    <row r="187" spans="1:114" s="46" customFormat="1" ht="23.25" customHeight="1">
      <c r="A187" s="153" t="s">
        <v>15</v>
      </c>
      <c r="B187" s="22">
        <v>0</v>
      </c>
      <c r="C187" s="2"/>
      <c r="D187" s="23">
        <f>SUM(D184:D186)</f>
        <v>413673.75</v>
      </c>
      <c r="E187" s="22"/>
      <c r="F187" s="9">
        <v>0</v>
      </c>
      <c r="G187" s="41"/>
      <c r="H187" s="50">
        <f>SUM(H186)</f>
        <v>0</v>
      </c>
      <c r="I187" s="8"/>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row>
    <row r="188" spans="1:114" s="46" customFormat="1" ht="51" customHeight="1">
      <c r="A188" s="254" t="s">
        <v>47</v>
      </c>
      <c r="B188" s="261"/>
      <c r="C188" s="152" t="s">
        <v>165</v>
      </c>
      <c r="D188" s="82">
        <f>5046.66+50998.33</f>
        <v>56044.990000000005</v>
      </c>
      <c r="E188" s="105" t="s">
        <v>87</v>
      </c>
      <c r="F188" s="6"/>
      <c r="G188" s="41"/>
      <c r="H188" s="57"/>
      <c r="I188" s="14"/>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row>
    <row r="189" spans="1:114" s="46" customFormat="1" ht="31.5" customHeight="1">
      <c r="A189" s="260"/>
      <c r="B189" s="262"/>
      <c r="C189" s="152" t="s">
        <v>134</v>
      </c>
      <c r="D189" s="82">
        <v>4320</v>
      </c>
      <c r="E189" s="122" t="s">
        <v>117</v>
      </c>
      <c r="F189" s="6"/>
      <c r="G189" s="41"/>
      <c r="H189" s="57"/>
      <c r="I189" s="14"/>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row>
    <row r="190" spans="1:114" s="46" customFormat="1" ht="21" customHeight="1">
      <c r="A190" s="255"/>
      <c r="B190" s="265"/>
      <c r="C190" s="156"/>
      <c r="D190" s="82"/>
      <c r="E190" s="16"/>
      <c r="F190" s="6"/>
      <c r="G190" s="41"/>
      <c r="H190" s="57"/>
      <c r="I190" s="14"/>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row>
    <row r="191" spans="1:114" s="46" customFormat="1" ht="24.75" customHeight="1">
      <c r="A191" s="153" t="s">
        <v>15</v>
      </c>
      <c r="B191" s="22">
        <f>B188</f>
        <v>0</v>
      </c>
      <c r="C191" s="2"/>
      <c r="D191" s="23">
        <f>SUM(D188:D190)</f>
        <v>60364.990000000005</v>
      </c>
      <c r="E191" s="22"/>
      <c r="F191" s="9"/>
      <c r="G191" s="41"/>
      <c r="H191" s="8">
        <f>H188</f>
        <v>0</v>
      </c>
      <c r="I191" s="8"/>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row>
    <row r="192" spans="1:114" s="46" customFormat="1" ht="24.75" customHeight="1">
      <c r="A192" s="254" t="s">
        <v>36</v>
      </c>
      <c r="B192" s="256"/>
      <c r="C192" s="21"/>
      <c r="D192" s="60"/>
      <c r="E192" s="122"/>
      <c r="F192" s="9"/>
      <c r="G192" s="41"/>
      <c r="H192" s="8"/>
      <c r="I192" s="8"/>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row>
    <row r="193" spans="1:114" s="46" customFormat="1" ht="15.75" customHeight="1">
      <c r="A193" s="255"/>
      <c r="B193" s="257"/>
      <c r="C193" s="152"/>
      <c r="D193" s="82"/>
      <c r="E193" s="16"/>
      <c r="F193" s="6"/>
      <c r="G193" s="41"/>
      <c r="H193" s="57"/>
      <c r="I193" s="14"/>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row>
    <row r="194" spans="1:114" s="46" customFormat="1" ht="20.25" customHeight="1">
      <c r="A194" s="153" t="s">
        <v>15</v>
      </c>
      <c r="B194" s="22">
        <f>B193</f>
        <v>0</v>
      </c>
      <c r="C194" s="2"/>
      <c r="D194" s="23">
        <f>SUM(D192:D193)</f>
        <v>0</v>
      </c>
      <c r="E194" s="22"/>
      <c r="F194" s="9"/>
      <c r="G194" s="41"/>
      <c r="H194" s="8">
        <f>H193</f>
        <v>0</v>
      </c>
      <c r="I194" s="8"/>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row>
    <row r="195" spans="1:114" s="46" customFormat="1" ht="40.5" customHeight="1">
      <c r="A195" s="254" t="s">
        <v>43</v>
      </c>
      <c r="B195" s="256"/>
      <c r="C195" s="152" t="s">
        <v>164</v>
      </c>
      <c r="D195" s="59">
        <v>50998.33</v>
      </c>
      <c r="E195" s="105" t="s">
        <v>87</v>
      </c>
      <c r="F195" s="9"/>
      <c r="G195" s="41"/>
      <c r="H195" s="8"/>
      <c r="I195" s="8"/>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row>
    <row r="196" spans="1:114" s="46" customFormat="1" ht="30.75" customHeight="1">
      <c r="A196" s="255"/>
      <c r="B196" s="257"/>
      <c r="C196" s="152"/>
      <c r="D196" s="83"/>
      <c r="E196" s="16"/>
      <c r="F196" s="6"/>
      <c r="G196" s="41"/>
      <c r="H196" s="57"/>
      <c r="I196" s="14"/>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row>
    <row r="197" spans="1:114" s="46" customFormat="1" ht="23.25" customHeight="1">
      <c r="A197" s="153" t="s">
        <v>15</v>
      </c>
      <c r="B197" s="22">
        <f>B196</f>
        <v>0</v>
      </c>
      <c r="C197" s="2"/>
      <c r="D197" s="23">
        <f>SUM(D195:D196)</f>
        <v>50998.33</v>
      </c>
      <c r="E197" s="22"/>
      <c r="F197" s="9"/>
      <c r="G197" s="41"/>
      <c r="H197" s="8">
        <f>H196</f>
        <v>0</v>
      </c>
      <c r="I197" s="8"/>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row>
    <row r="198" spans="1:114" s="46" customFormat="1" ht="49.5" customHeight="1">
      <c r="A198" s="258" t="s">
        <v>52</v>
      </c>
      <c r="B198" s="256"/>
      <c r="C198" s="21" t="s">
        <v>165</v>
      </c>
      <c r="D198" s="60">
        <f>5046.66+50998.33</f>
        <v>56044.990000000005</v>
      </c>
      <c r="E198" s="105" t="s">
        <v>87</v>
      </c>
      <c r="F198" s="9"/>
      <c r="G198" s="41"/>
      <c r="H198" s="8"/>
      <c r="I198" s="8"/>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row>
    <row r="199" spans="1:114" s="46" customFormat="1" ht="28.5" customHeight="1">
      <c r="A199" s="259"/>
      <c r="B199" s="257"/>
      <c r="C199" s="21" t="s">
        <v>135</v>
      </c>
      <c r="D199" s="82">
        <v>4320</v>
      </c>
      <c r="E199" s="16" t="s">
        <v>117</v>
      </c>
      <c r="F199" s="9"/>
      <c r="G199" s="41"/>
      <c r="H199" s="57"/>
      <c r="I199" s="14"/>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row>
    <row r="200" spans="1:114" s="46" customFormat="1" ht="29.25" customHeight="1">
      <c r="A200" s="153" t="s">
        <v>15</v>
      </c>
      <c r="B200" s="22">
        <f>B199</f>
        <v>0</v>
      </c>
      <c r="C200" s="2"/>
      <c r="D200" s="23">
        <f>SUM(D198:D199)</f>
        <v>60364.990000000005</v>
      </c>
      <c r="E200" s="22"/>
      <c r="F200" s="9"/>
      <c r="G200" s="41"/>
      <c r="H200" s="8">
        <f>H199</f>
        <v>0</v>
      </c>
      <c r="I200" s="8"/>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row>
    <row r="201" spans="1:114" s="46" customFormat="1" ht="39.75" customHeight="1">
      <c r="A201" s="78" t="s">
        <v>50</v>
      </c>
      <c r="B201" s="59"/>
      <c r="C201" s="21" t="s">
        <v>96</v>
      </c>
      <c r="D201" s="148">
        <v>85840</v>
      </c>
      <c r="E201" s="105" t="s">
        <v>87</v>
      </c>
      <c r="F201" s="6"/>
      <c r="G201" s="41"/>
      <c r="H201" s="57"/>
      <c r="I201" s="14"/>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row>
    <row r="202" spans="1:114" s="46" customFormat="1" ht="24.75" customHeight="1">
      <c r="A202" s="153" t="s">
        <v>15</v>
      </c>
      <c r="B202" s="22">
        <f>SUM(B201)</f>
        <v>0</v>
      </c>
      <c r="C202" s="2"/>
      <c r="D202" s="23">
        <f>D201</f>
        <v>85840</v>
      </c>
      <c r="E202" s="22"/>
      <c r="F202" s="9"/>
      <c r="G202" s="41"/>
      <c r="H202" s="8">
        <f>H201</f>
        <v>0</v>
      </c>
      <c r="I202" s="8"/>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row>
    <row r="203" spans="1:114" s="46" customFormat="1" ht="51.75" customHeight="1">
      <c r="A203" s="254" t="s">
        <v>42</v>
      </c>
      <c r="B203" s="256"/>
      <c r="C203" s="21" t="s">
        <v>166</v>
      </c>
      <c r="D203" s="60">
        <f>5178.96+50998.33</f>
        <v>56177.29</v>
      </c>
      <c r="E203" s="105" t="s">
        <v>87</v>
      </c>
      <c r="F203" s="9"/>
      <c r="G203" s="41"/>
      <c r="H203" s="8"/>
      <c r="I203" s="8"/>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row>
    <row r="204" spans="1:114" s="46" customFormat="1" ht="27.75" customHeight="1">
      <c r="A204" s="255"/>
      <c r="B204" s="257"/>
      <c r="C204" s="152" t="s">
        <v>122</v>
      </c>
      <c r="D204" s="82">
        <v>980</v>
      </c>
      <c r="E204" s="16" t="s">
        <v>108</v>
      </c>
      <c r="F204" s="6"/>
      <c r="G204" s="41"/>
      <c r="H204" s="57"/>
      <c r="I204" s="14"/>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row>
    <row r="205" spans="1:114" s="46" customFormat="1" ht="23.25" customHeight="1">
      <c r="A205" s="153" t="s">
        <v>15</v>
      </c>
      <c r="B205" s="22">
        <f>SUM(B203)</f>
        <v>0</v>
      </c>
      <c r="C205" s="2"/>
      <c r="D205" s="23">
        <f>SUM(D203:D204)</f>
        <v>57157.29</v>
      </c>
      <c r="E205" s="22"/>
      <c r="F205" s="9"/>
      <c r="G205" s="41"/>
      <c r="H205" s="8">
        <f>H204</f>
        <v>0</v>
      </c>
      <c r="I205" s="8"/>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row>
    <row r="206" spans="1:114" s="46" customFormat="1" ht="31.5">
      <c r="A206" s="254" t="s">
        <v>48</v>
      </c>
      <c r="B206" s="261"/>
      <c r="C206" s="152" t="s">
        <v>164</v>
      </c>
      <c r="D206" s="59">
        <v>50998.33</v>
      </c>
      <c r="E206" s="105" t="s">
        <v>87</v>
      </c>
      <c r="F206" s="6"/>
      <c r="G206" s="41"/>
      <c r="H206" s="57"/>
      <c r="I206" s="14"/>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row>
    <row r="207" spans="1:114" s="46" customFormat="1" ht="19.5" customHeight="1">
      <c r="A207" s="260"/>
      <c r="B207" s="262"/>
      <c r="C207" s="116"/>
      <c r="D207" s="59"/>
      <c r="E207" s="74"/>
      <c r="F207" s="6"/>
      <c r="G207" s="41"/>
      <c r="H207" s="8"/>
      <c r="I207" s="8"/>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row>
    <row r="208" spans="1:114" s="46" customFormat="1" ht="24" customHeight="1">
      <c r="A208" s="169" t="s">
        <v>15</v>
      </c>
      <c r="B208" s="22">
        <f>B206</f>
        <v>0</v>
      </c>
      <c r="C208" s="116"/>
      <c r="D208" s="22">
        <f>D206+D207</f>
        <v>50998.33</v>
      </c>
      <c r="E208" s="85"/>
      <c r="F208" s="6"/>
      <c r="G208" s="41"/>
      <c r="H208" s="8">
        <f>H206+H207</f>
        <v>0</v>
      </c>
      <c r="I208" s="8"/>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row>
    <row r="209" spans="1:114" s="46" customFormat="1" ht="39" customHeight="1">
      <c r="A209" s="78" t="s">
        <v>51</v>
      </c>
      <c r="B209" s="59"/>
      <c r="C209" s="152"/>
      <c r="D209" s="82"/>
      <c r="E209" s="16"/>
      <c r="F209" s="6"/>
      <c r="G209" s="41"/>
      <c r="H209" s="5"/>
      <c r="I209" s="14"/>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row>
    <row r="210" spans="1:114" s="46" customFormat="1" ht="24.75" customHeight="1" thickBot="1">
      <c r="A210" s="153" t="s">
        <v>15</v>
      </c>
      <c r="B210" s="39">
        <f>B209</f>
        <v>0</v>
      </c>
      <c r="C210" s="2"/>
      <c r="D210" s="89">
        <f>D209</f>
        <v>0</v>
      </c>
      <c r="E210" s="22"/>
      <c r="F210" s="9"/>
      <c r="G210" s="41"/>
      <c r="H210" s="50">
        <f>H209</f>
        <v>0</v>
      </c>
      <c r="I210" s="8"/>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row>
    <row r="211" spans="1:114" s="67" customFormat="1" ht="60.75" customHeight="1" thickBot="1">
      <c r="A211" s="163" t="s">
        <v>57</v>
      </c>
      <c r="B211" s="22">
        <f>SUM(B200+B68+B71+B80+B84+B87+B91+B100+B116+B119+B126+B136+B142+B208+B146+B149+B152+B156+B163+B167+B175+B178+B183+B191+B194+B197+B202+B205+B210)</f>
        <v>5038.41</v>
      </c>
      <c r="C211" s="22"/>
      <c r="D211" s="101">
        <f>SUM(D200+D68+D71+D80+D84+D208+D87+D91+D100+D116+D119+D126+D136+D142+D146+D149+D152+D156+D163+D167+D175+D178+D183+D191+D194+D197+D202+D205+D210+D187)</f>
        <v>4804075.95</v>
      </c>
      <c r="E211" s="22">
        <f>SUM(E200+E68+E71+E80+E84+E208+E87+E91+E100+E116+E119+E126+E136+E142+E146+E149+E152+E156+E163+E167+E175+E178+E183+E191+E194+E197+E202+E205+E210)</f>
        <v>0</v>
      </c>
      <c r="F211" s="22">
        <f>SUM(F200+F68+F71+F80+F84+F208+F87+F91+F100+F116+F119+F126+F136+F142+F146+F149+F152+F156+F163+F167+F175+F178+F183+F191+F194+F197+F202+F205+F210)</f>
        <v>0</v>
      </c>
      <c r="G211" s="22">
        <f>SUM(G200+G68+G71+G80+G84+G208+G87+G91+G100+G116+G119+G126+G136+G142+G146+G149+G152+G156+G163+G167+G175+G178+G183+G191+G194+G197+G202+G205+G210)</f>
        <v>0</v>
      </c>
      <c r="H211" s="22">
        <f>SUM(H200+H68+H71+H80+H84+H208+H87+H91+H100+H116+H119+H126+H136+H142+H146+H149+H152+H156+H163+H167+H175+H178+H183+H191+H194+H197+H202+H205+H210)+H187</f>
        <v>0</v>
      </c>
      <c r="I211" s="22">
        <f>SUM(I200+I68+I71+I80+I84+I208+I87+I91+I100+I116+I119+I126+I136+I142+I146+I149+I152+I156+I163+I167+I175+I178+I183+I191+I194+I197+I202+I205+I210)</f>
        <v>0</v>
      </c>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V211" s="66"/>
      <c r="BW211" s="66"/>
      <c r="BX211" s="66"/>
      <c r="BY211" s="66"/>
      <c r="BZ211" s="66"/>
      <c r="CA211" s="66"/>
      <c r="CB211" s="66"/>
      <c r="CC211" s="66"/>
      <c r="CD211" s="66"/>
      <c r="CE211" s="66"/>
      <c r="CF211" s="66"/>
      <c r="CG211" s="66"/>
      <c r="CH211" s="66"/>
      <c r="CI211" s="66"/>
      <c r="CJ211" s="66"/>
      <c r="CK211" s="66"/>
      <c r="CL211" s="66"/>
      <c r="CM211" s="66"/>
      <c r="CN211" s="66"/>
      <c r="CO211" s="66"/>
      <c r="CP211" s="66"/>
      <c r="CQ211" s="66"/>
      <c r="CR211" s="66"/>
      <c r="CS211" s="66"/>
      <c r="CT211" s="66"/>
      <c r="CU211" s="66"/>
      <c r="CV211" s="66"/>
      <c r="CW211" s="66"/>
      <c r="CX211" s="66"/>
      <c r="CY211" s="66"/>
      <c r="CZ211" s="66"/>
      <c r="DA211" s="66"/>
      <c r="DB211" s="66"/>
      <c r="DC211" s="66"/>
      <c r="DD211" s="66"/>
      <c r="DE211" s="66"/>
      <c r="DF211" s="66"/>
      <c r="DG211" s="66"/>
      <c r="DH211" s="66"/>
      <c r="DI211" s="66"/>
      <c r="DJ211" s="66"/>
    </row>
    <row r="212" spans="1:114" s="67" customFormat="1" ht="79.5" customHeight="1" thickBot="1">
      <c r="A212" s="153" t="s">
        <v>58</v>
      </c>
      <c r="B212" s="23">
        <f>SUM(B72+B211)</f>
        <v>52808.41</v>
      </c>
      <c r="C212" s="23"/>
      <c r="D212" s="23">
        <f aca="true" t="shared" si="0" ref="D212:I212">SUM(D72+D211)</f>
        <v>5212062.59</v>
      </c>
      <c r="E212" s="23">
        <f t="shared" si="0"/>
        <v>0</v>
      </c>
      <c r="F212" s="23">
        <f t="shared" si="0"/>
        <v>0</v>
      </c>
      <c r="G212" s="23">
        <f t="shared" si="0"/>
        <v>0</v>
      </c>
      <c r="H212" s="23">
        <f t="shared" si="0"/>
        <v>0</v>
      </c>
      <c r="I212" s="23">
        <f t="shared" si="0"/>
        <v>0</v>
      </c>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6"/>
      <c r="CZ212" s="66"/>
      <c r="DA212" s="66"/>
      <c r="DB212" s="66"/>
      <c r="DC212" s="66"/>
      <c r="DD212" s="66"/>
      <c r="DE212" s="66"/>
      <c r="DF212" s="66"/>
      <c r="DG212" s="66"/>
      <c r="DH212" s="66"/>
      <c r="DI212" s="66"/>
      <c r="DJ212" s="66"/>
    </row>
    <row r="213" spans="1:114" s="70" customFormat="1" ht="9.75" customHeight="1" hidden="1">
      <c r="A213" s="68"/>
      <c r="B213" s="68"/>
      <c r="C213" s="68"/>
      <c r="D213" s="90"/>
      <c r="E213" s="71"/>
      <c r="F213" s="69"/>
      <c r="G213" s="69"/>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row>
    <row r="214" spans="1:114" s="70" customFormat="1" ht="34.5" customHeight="1">
      <c r="A214" s="71" t="s">
        <v>59</v>
      </c>
      <c r="B214" s="71"/>
      <c r="C214" s="71"/>
      <c r="D214" s="90"/>
      <c r="E214" s="71" t="s">
        <v>24</v>
      </c>
      <c r="F214" s="69"/>
      <c r="G214" s="25" t="s">
        <v>61</v>
      </c>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c r="DD214" s="34"/>
      <c r="DE214" s="34"/>
      <c r="DF214" s="34"/>
      <c r="DG214" s="34"/>
      <c r="DH214" s="34"/>
      <c r="DI214" s="34"/>
      <c r="DJ214" s="34"/>
    </row>
    <row r="215" spans="1:9" ht="20.25" customHeight="1">
      <c r="A215" s="68" t="s">
        <v>25</v>
      </c>
      <c r="B215" s="68"/>
      <c r="C215" s="26"/>
      <c r="D215" s="91"/>
      <c r="E215" s="95"/>
      <c r="F215" s="24"/>
      <c r="G215" s="24" t="s">
        <v>84</v>
      </c>
      <c r="H215" s="13"/>
      <c r="I215" s="13"/>
    </row>
    <row r="216" spans="1:10" ht="26.25" customHeight="1">
      <c r="A216" s="26" t="s">
        <v>62</v>
      </c>
      <c r="B216" s="26"/>
      <c r="C216" s="26"/>
      <c r="D216" s="90"/>
      <c r="E216" s="93"/>
      <c r="F216" s="72"/>
      <c r="G216" s="72"/>
      <c r="H216" s="13"/>
      <c r="I216" s="47"/>
      <c r="J216" s="13" t="s">
        <v>60</v>
      </c>
    </row>
    <row r="217" spans="1:9" ht="20.25" customHeight="1">
      <c r="A217" s="26"/>
      <c r="B217" s="26"/>
      <c r="C217" s="26"/>
      <c r="D217" s="90"/>
      <c r="E217" s="93"/>
      <c r="F217" s="72"/>
      <c r="G217" s="72"/>
      <c r="H217" s="13"/>
      <c r="I217" s="13"/>
    </row>
    <row r="218" spans="1:9" ht="12" customHeight="1">
      <c r="A218" s="27"/>
      <c r="B218" s="27"/>
      <c r="C218" s="27"/>
      <c r="D218" s="92"/>
      <c r="E218" s="27"/>
      <c r="F218" s="13"/>
      <c r="G218" s="13"/>
      <c r="H218" s="13"/>
      <c r="I218" s="13"/>
    </row>
    <row r="219" spans="1:9" ht="15.75">
      <c r="A219" s="27"/>
      <c r="B219" s="27"/>
      <c r="C219" s="27"/>
      <c r="D219" s="92"/>
      <c r="E219" s="27"/>
      <c r="F219" s="13"/>
      <c r="G219" s="13"/>
      <c r="H219" s="13"/>
      <c r="I219" s="13"/>
    </row>
    <row r="220" spans="1:9" ht="15.75">
      <c r="A220" s="27"/>
      <c r="B220" s="27"/>
      <c r="C220" s="27"/>
      <c r="D220" s="92"/>
      <c r="E220" s="27"/>
      <c r="F220" s="13"/>
      <c r="G220" s="13"/>
      <c r="H220" s="13"/>
      <c r="I220" s="13"/>
    </row>
  </sheetData>
  <sheetProtection/>
  <mergeCells count="143">
    <mergeCell ref="A192:A193"/>
    <mergeCell ref="B192:B193"/>
    <mergeCell ref="A206:A207"/>
    <mergeCell ref="B206:B207"/>
    <mergeCell ref="A195:A196"/>
    <mergeCell ref="B195:B196"/>
    <mergeCell ref="A198:A199"/>
    <mergeCell ref="B198:B199"/>
    <mergeCell ref="A203:A204"/>
    <mergeCell ref="B203:B204"/>
    <mergeCell ref="A179:A182"/>
    <mergeCell ref="B179:B182"/>
    <mergeCell ref="F179:F182"/>
    <mergeCell ref="G179:G182"/>
    <mergeCell ref="A184:A186"/>
    <mergeCell ref="B184:B186"/>
    <mergeCell ref="A188:A190"/>
    <mergeCell ref="B188:B190"/>
    <mergeCell ref="A168:A174"/>
    <mergeCell ref="B168:B174"/>
    <mergeCell ref="F170:F174"/>
    <mergeCell ref="G170:G174"/>
    <mergeCell ref="A176:A177"/>
    <mergeCell ref="B176:B177"/>
    <mergeCell ref="F176:F177"/>
    <mergeCell ref="G176:G177"/>
    <mergeCell ref="A157:A162"/>
    <mergeCell ref="B157:B162"/>
    <mergeCell ref="F160:F162"/>
    <mergeCell ref="G160:G162"/>
    <mergeCell ref="A164:A166"/>
    <mergeCell ref="B164:B166"/>
    <mergeCell ref="C164:C165"/>
    <mergeCell ref="F164:F166"/>
    <mergeCell ref="G164:G166"/>
    <mergeCell ref="A150:A151"/>
    <mergeCell ref="B150:B151"/>
    <mergeCell ref="F150:F151"/>
    <mergeCell ref="G150:G151"/>
    <mergeCell ref="A153:A155"/>
    <mergeCell ref="B153:B155"/>
    <mergeCell ref="F153:F155"/>
    <mergeCell ref="G153:G155"/>
    <mergeCell ref="A143:A145"/>
    <mergeCell ref="B143:B145"/>
    <mergeCell ref="F143:F145"/>
    <mergeCell ref="G143:G145"/>
    <mergeCell ref="A147:A148"/>
    <mergeCell ref="B147:B148"/>
    <mergeCell ref="A127:A135"/>
    <mergeCell ref="B127:B135"/>
    <mergeCell ref="F127:F135"/>
    <mergeCell ref="G127:G135"/>
    <mergeCell ref="A137:A141"/>
    <mergeCell ref="B137:B141"/>
    <mergeCell ref="F137:F141"/>
    <mergeCell ref="G137:G141"/>
    <mergeCell ref="A117:A118"/>
    <mergeCell ref="B117:B118"/>
    <mergeCell ref="F117:F118"/>
    <mergeCell ref="G117:G118"/>
    <mergeCell ref="A120:A125"/>
    <mergeCell ref="B120:B125"/>
    <mergeCell ref="F120:F125"/>
    <mergeCell ref="G120:G125"/>
    <mergeCell ref="A92:A99"/>
    <mergeCell ref="B92:B99"/>
    <mergeCell ref="F95:F99"/>
    <mergeCell ref="G95:G99"/>
    <mergeCell ref="A111:A115"/>
    <mergeCell ref="B111:B115"/>
    <mergeCell ref="F114:F115"/>
    <mergeCell ref="G114:G115"/>
    <mergeCell ref="A85:A86"/>
    <mergeCell ref="B85:B86"/>
    <mergeCell ref="F85:F86"/>
    <mergeCell ref="G85:G86"/>
    <mergeCell ref="A88:A90"/>
    <mergeCell ref="B88:B90"/>
    <mergeCell ref="F88:F90"/>
    <mergeCell ref="G88:G90"/>
    <mergeCell ref="A73:A79"/>
    <mergeCell ref="B73:B79"/>
    <mergeCell ref="A81:A83"/>
    <mergeCell ref="B81:B83"/>
    <mergeCell ref="F81:F83"/>
    <mergeCell ref="G81:G83"/>
    <mergeCell ref="C60:C61"/>
    <mergeCell ref="A63:A64"/>
    <mergeCell ref="B63:B64"/>
    <mergeCell ref="A66:A67"/>
    <mergeCell ref="B66:B67"/>
    <mergeCell ref="A69:A70"/>
    <mergeCell ref="B69:B70"/>
    <mergeCell ref="A54:A55"/>
    <mergeCell ref="B54:B55"/>
    <mergeCell ref="A57:A58"/>
    <mergeCell ref="B57:B58"/>
    <mergeCell ref="A60:A61"/>
    <mergeCell ref="B60:B61"/>
    <mergeCell ref="C41:C42"/>
    <mergeCell ref="A44:A45"/>
    <mergeCell ref="B44:B45"/>
    <mergeCell ref="A47:A49"/>
    <mergeCell ref="B47:B49"/>
    <mergeCell ref="A51:A52"/>
    <mergeCell ref="B51:B52"/>
    <mergeCell ref="C51:C52"/>
    <mergeCell ref="A34:A35"/>
    <mergeCell ref="B34:B35"/>
    <mergeCell ref="A37:A39"/>
    <mergeCell ref="B37:B39"/>
    <mergeCell ref="A41:A42"/>
    <mergeCell ref="B41:B42"/>
    <mergeCell ref="F27:F28"/>
    <mergeCell ref="G27:G28"/>
    <mergeCell ref="H27:H28"/>
    <mergeCell ref="I27:I28"/>
    <mergeCell ref="A31:A32"/>
    <mergeCell ref="B31:B32"/>
    <mergeCell ref="A21:A22"/>
    <mergeCell ref="B21:B22"/>
    <mergeCell ref="A24:A25"/>
    <mergeCell ref="B24:B25"/>
    <mergeCell ref="A27:A29"/>
    <mergeCell ref="B27:B29"/>
    <mergeCell ref="H9:I10"/>
    <mergeCell ref="A12:A13"/>
    <mergeCell ref="B12:B13"/>
    <mergeCell ref="A15:A16"/>
    <mergeCell ref="B15:B16"/>
    <mergeCell ref="A18:A20"/>
    <mergeCell ref="B18:B19"/>
    <mergeCell ref="G4:I4"/>
    <mergeCell ref="A5:I5"/>
    <mergeCell ref="A6:I6"/>
    <mergeCell ref="A7:I7"/>
    <mergeCell ref="A8:A11"/>
    <mergeCell ref="B8:E8"/>
    <mergeCell ref="F8:I8"/>
    <mergeCell ref="B9:C10"/>
    <mergeCell ref="D9:E10"/>
    <mergeCell ref="F9:G10"/>
  </mergeCells>
  <printOptions/>
  <pageMargins left="0.31496062992125984" right="0.31496062992125984" top="0.35433070866141736" bottom="0.35433070866141736" header="0.31496062992125984" footer="0.31496062992125984"/>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dimension ref="A1:DJ222"/>
  <sheetViews>
    <sheetView zoomScalePageLayoutView="0" workbookViewId="0" topLeftCell="A8">
      <pane xSplit="1" ySplit="4" topLeftCell="B132" activePane="bottomRight" state="frozen"/>
      <selection pane="topLeft" activeCell="A8" sqref="A8"/>
      <selection pane="topRight" activeCell="B8" sqref="B8"/>
      <selection pane="bottomLeft" activeCell="A12" sqref="A12"/>
      <selection pane="bottomRight" activeCell="A8" sqref="A1:IV16384"/>
    </sheetView>
  </sheetViews>
  <sheetFormatPr defaultColWidth="25.7109375" defaultRowHeight="15"/>
  <cols>
    <col min="1" max="1" width="14.28125" style="28" customWidth="1"/>
    <col min="2" max="2" width="10.28125" style="28" customWidth="1"/>
    <col min="3" max="3" width="39.00390625" style="28" customWidth="1"/>
    <col min="4" max="4" width="11.57421875" style="73" customWidth="1"/>
    <col min="5" max="5" width="19.140625" style="28" customWidth="1"/>
    <col min="6" max="6" width="7.421875" style="1" customWidth="1"/>
    <col min="7" max="7" width="7.28125" style="1" customWidth="1"/>
    <col min="8" max="8" width="9.28125" style="1" customWidth="1"/>
    <col min="9" max="9" width="9.140625" style="1" customWidth="1"/>
    <col min="10" max="114" width="25.7109375" style="13" customWidth="1"/>
    <col min="115" max="16384" width="25.7109375" style="1" customWidth="1"/>
  </cols>
  <sheetData>
    <row r="1" spans="3:9" ht="18" customHeight="1">
      <c r="C1" s="28" t="s">
        <v>24</v>
      </c>
      <c r="F1" s="29" t="s">
        <v>49</v>
      </c>
      <c r="I1" s="29"/>
    </row>
    <row r="2" spans="6:9" ht="18" customHeight="1">
      <c r="F2" s="29" t="s">
        <v>45</v>
      </c>
      <c r="I2" s="29"/>
    </row>
    <row r="3" spans="6:9" ht="16.5" customHeight="1">
      <c r="F3" s="29" t="s">
        <v>46</v>
      </c>
      <c r="I3" s="29"/>
    </row>
    <row r="4" spans="7:9" ht="15.75">
      <c r="G4" s="297"/>
      <c r="H4" s="297"/>
      <c r="I4" s="297"/>
    </row>
    <row r="5" spans="1:9" ht="15.75">
      <c r="A5" s="298" t="s">
        <v>19</v>
      </c>
      <c r="B5" s="298"/>
      <c r="C5" s="298"/>
      <c r="D5" s="298"/>
      <c r="E5" s="298"/>
      <c r="F5" s="298"/>
      <c r="G5" s="298"/>
      <c r="H5" s="298"/>
      <c r="I5" s="298"/>
    </row>
    <row r="6" spans="1:9" ht="15.75">
      <c r="A6" s="298" t="s">
        <v>171</v>
      </c>
      <c r="B6" s="298"/>
      <c r="C6" s="298"/>
      <c r="D6" s="298"/>
      <c r="E6" s="298"/>
      <c r="F6" s="298"/>
      <c r="G6" s="298"/>
      <c r="H6" s="298"/>
      <c r="I6" s="298"/>
    </row>
    <row r="7" spans="1:9" ht="26.25" customHeight="1">
      <c r="A7" s="298" t="s">
        <v>20</v>
      </c>
      <c r="B7" s="298"/>
      <c r="C7" s="298"/>
      <c r="D7" s="298"/>
      <c r="E7" s="298"/>
      <c r="F7" s="298"/>
      <c r="G7" s="298"/>
      <c r="H7" s="298"/>
      <c r="I7" s="298"/>
    </row>
    <row r="8" spans="1:10" ht="30" customHeight="1">
      <c r="A8" s="299" t="s">
        <v>21</v>
      </c>
      <c r="B8" s="294" t="s">
        <v>0</v>
      </c>
      <c r="C8" s="294"/>
      <c r="D8" s="294"/>
      <c r="E8" s="294"/>
      <c r="F8" s="294" t="s">
        <v>1</v>
      </c>
      <c r="G8" s="294"/>
      <c r="H8" s="294"/>
      <c r="I8" s="294"/>
      <c r="J8" s="36"/>
    </row>
    <row r="9" spans="1:10" ht="13.5" customHeight="1">
      <c r="A9" s="299"/>
      <c r="B9" s="299" t="s">
        <v>2</v>
      </c>
      <c r="C9" s="299"/>
      <c r="D9" s="299" t="s">
        <v>18</v>
      </c>
      <c r="E9" s="299"/>
      <c r="F9" s="294" t="s">
        <v>2</v>
      </c>
      <c r="G9" s="294"/>
      <c r="H9" s="294" t="s">
        <v>3</v>
      </c>
      <c r="I9" s="295"/>
      <c r="J9" s="36"/>
    </row>
    <row r="10" spans="1:10" ht="22.5" customHeight="1">
      <c r="A10" s="299"/>
      <c r="B10" s="299"/>
      <c r="C10" s="299"/>
      <c r="D10" s="299"/>
      <c r="E10" s="299"/>
      <c r="F10" s="294"/>
      <c r="G10" s="294"/>
      <c r="H10" s="295"/>
      <c r="I10" s="295"/>
      <c r="J10" s="36"/>
    </row>
    <row r="11" spans="1:10" ht="51" customHeight="1">
      <c r="A11" s="299"/>
      <c r="B11" s="16" t="s">
        <v>17</v>
      </c>
      <c r="C11" s="16" t="s">
        <v>4</v>
      </c>
      <c r="D11" s="16" t="s">
        <v>17</v>
      </c>
      <c r="E11" s="16" t="s">
        <v>5</v>
      </c>
      <c r="F11" s="14" t="s">
        <v>17</v>
      </c>
      <c r="G11" s="14" t="s">
        <v>4</v>
      </c>
      <c r="H11" s="14" t="s">
        <v>17</v>
      </c>
      <c r="I11" s="14" t="s">
        <v>6</v>
      </c>
      <c r="J11" s="36"/>
    </row>
    <row r="12" spans="1:10" ht="80.25" customHeight="1">
      <c r="A12" s="277" t="s">
        <v>63</v>
      </c>
      <c r="B12" s="296"/>
      <c r="C12" s="152" t="s">
        <v>178</v>
      </c>
      <c r="D12" s="59">
        <f>50998.33+9969.12</f>
        <v>60967.450000000004</v>
      </c>
      <c r="E12" s="105" t="s">
        <v>87</v>
      </c>
      <c r="F12" s="37"/>
      <c r="G12" s="32"/>
      <c r="H12" s="38"/>
      <c r="I12" s="15"/>
      <c r="J12" s="36"/>
    </row>
    <row r="13" spans="1:10" ht="38.25" customHeight="1">
      <c r="A13" s="277"/>
      <c r="B13" s="296"/>
      <c r="C13" s="149" t="s">
        <v>176</v>
      </c>
      <c r="D13" s="60">
        <f>1460+3740+384</f>
        <v>5584</v>
      </c>
      <c r="E13" s="105" t="s">
        <v>175</v>
      </c>
      <c r="F13" s="37"/>
      <c r="G13" s="32"/>
      <c r="H13" s="38"/>
      <c r="I13" s="30"/>
      <c r="J13" s="36"/>
    </row>
    <row r="14" spans="1:114" s="46" customFormat="1" ht="20.25" customHeight="1">
      <c r="A14" s="153" t="s">
        <v>14</v>
      </c>
      <c r="B14" s="39">
        <f>SUM(B12:B13)</f>
        <v>0</v>
      </c>
      <c r="C14" s="2"/>
      <c r="D14" s="75">
        <f>D13+D12</f>
        <v>66551.45000000001</v>
      </c>
      <c r="E14" s="76"/>
      <c r="F14" s="40"/>
      <c r="G14" s="41"/>
      <c r="H14" s="42">
        <f>SUM(H12:H13)</f>
        <v>0</v>
      </c>
      <c r="I14" s="31"/>
      <c r="J14" s="43"/>
      <c r="K14" s="44"/>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row>
    <row r="15" spans="1:11" ht="85.5" customHeight="1">
      <c r="A15" s="277" t="s">
        <v>64</v>
      </c>
      <c r="B15" s="278">
        <v>10924</v>
      </c>
      <c r="C15" s="152" t="s">
        <v>178</v>
      </c>
      <c r="D15" s="60">
        <f>50998.33+4984.56</f>
        <v>55982.89</v>
      </c>
      <c r="E15" s="105" t="s">
        <v>87</v>
      </c>
      <c r="F15" s="37"/>
      <c r="G15" s="32"/>
      <c r="H15" s="30"/>
      <c r="I15" s="15"/>
      <c r="J15" s="36"/>
      <c r="K15" s="47"/>
    </row>
    <row r="16" spans="1:11" ht="49.5" customHeight="1">
      <c r="A16" s="277"/>
      <c r="B16" s="279"/>
      <c r="C16" s="116" t="s">
        <v>177</v>
      </c>
      <c r="D16" s="60"/>
      <c r="E16" s="105"/>
      <c r="F16" s="37"/>
      <c r="G16" s="32"/>
      <c r="H16" s="30"/>
      <c r="I16" s="15"/>
      <c r="J16" s="36"/>
      <c r="K16" s="47"/>
    </row>
    <row r="17" spans="1:11" ht="37.5" customHeight="1">
      <c r="A17" s="277"/>
      <c r="B17" s="280"/>
      <c r="C17" s="149" t="s">
        <v>176</v>
      </c>
      <c r="D17" s="60">
        <f>1733.75+4080+432</f>
        <v>6245.75</v>
      </c>
      <c r="E17" s="105" t="s">
        <v>175</v>
      </c>
      <c r="F17" s="37"/>
      <c r="G17" s="32"/>
      <c r="H17" s="30"/>
      <c r="I17" s="30"/>
      <c r="J17" s="36"/>
      <c r="K17" s="47"/>
    </row>
    <row r="18" spans="1:114" s="46" customFormat="1" ht="22.5" customHeight="1">
      <c r="A18" s="153" t="s">
        <v>14</v>
      </c>
      <c r="B18" s="39">
        <f>SUM(B15)</f>
        <v>10924</v>
      </c>
      <c r="C18" s="152"/>
      <c r="D18" s="64">
        <f>D17+D15</f>
        <v>62228.64</v>
      </c>
      <c r="E18" s="76"/>
      <c r="F18" s="40"/>
      <c r="G18" s="41"/>
      <c r="H18" s="31">
        <f>SUM(H15:H17)</f>
        <v>0</v>
      </c>
      <c r="I18" s="31"/>
      <c r="J18" s="43"/>
      <c r="K18" s="44"/>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row>
    <row r="19" spans="1:114" s="46" customFormat="1" ht="21" customHeight="1">
      <c r="A19" s="277" t="s">
        <v>65</v>
      </c>
      <c r="B19" s="278"/>
      <c r="C19" s="152"/>
      <c r="D19" s="16"/>
      <c r="E19" s="105"/>
      <c r="F19" s="40"/>
      <c r="G19" s="41"/>
      <c r="H19" s="30"/>
      <c r="I19" s="15"/>
      <c r="J19" s="43"/>
      <c r="K19" s="44"/>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row>
    <row r="20" spans="1:114" s="46" customFormat="1" ht="18.75" customHeight="1">
      <c r="A20" s="277"/>
      <c r="B20" s="280"/>
      <c r="C20" s="155"/>
      <c r="D20" s="16"/>
      <c r="E20" s="59"/>
      <c r="F20" s="40"/>
      <c r="G20" s="41"/>
      <c r="H20" s="30"/>
      <c r="I20" s="15"/>
      <c r="J20" s="43"/>
      <c r="K20" s="4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row>
    <row r="21" spans="1:114" s="46" customFormat="1" ht="20.25" customHeight="1">
      <c r="A21" s="277"/>
      <c r="B21" s="39">
        <f>SUM(B19)</f>
        <v>0</v>
      </c>
      <c r="C21" s="116"/>
      <c r="D21" s="77">
        <f>SUM(D19:D20)</f>
        <v>0</v>
      </c>
      <c r="E21" s="76"/>
      <c r="F21" s="48">
        <f>F19</f>
        <v>0</v>
      </c>
      <c r="G21" s="41"/>
      <c r="H21" s="31">
        <f>SUM(H19:H19)</f>
        <v>0</v>
      </c>
      <c r="I21" s="31"/>
      <c r="J21" s="43"/>
      <c r="K21" s="44"/>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row>
    <row r="22" spans="1:11" ht="28.5" customHeight="1">
      <c r="A22" s="254" t="s">
        <v>66</v>
      </c>
      <c r="B22" s="278"/>
      <c r="C22" s="156"/>
      <c r="D22" s="16"/>
      <c r="E22" s="74"/>
      <c r="F22" s="37"/>
      <c r="G22" s="32"/>
      <c r="H22" s="30"/>
      <c r="I22" s="15"/>
      <c r="J22" s="36"/>
      <c r="K22" s="47"/>
    </row>
    <row r="23" spans="1:11" ht="18.75" customHeight="1">
      <c r="A23" s="255"/>
      <c r="B23" s="280"/>
      <c r="C23" s="157"/>
      <c r="D23" s="143"/>
      <c r="E23" s="122"/>
      <c r="F23" s="37"/>
      <c r="G23" s="32"/>
      <c r="H23" s="30"/>
      <c r="I23" s="30"/>
      <c r="J23" s="36"/>
      <c r="K23" s="47"/>
    </row>
    <row r="24" spans="1:114" s="46" customFormat="1" ht="25.5" customHeight="1">
      <c r="A24" s="153" t="s">
        <v>15</v>
      </c>
      <c r="B24" s="39">
        <f>B22</f>
        <v>0</v>
      </c>
      <c r="C24" s="2"/>
      <c r="D24" s="79">
        <f>D23+D22</f>
        <v>0</v>
      </c>
      <c r="E24" s="80"/>
      <c r="F24" s="40"/>
      <c r="G24" s="41"/>
      <c r="H24" s="31">
        <f>SUM(H22:H23)</f>
        <v>0</v>
      </c>
      <c r="I24" s="31"/>
      <c r="J24" s="43"/>
      <c r="K24" s="44"/>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row>
    <row r="25" spans="1:114" s="46" customFormat="1" ht="84.75" customHeight="1">
      <c r="A25" s="254" t="s">
        <v>67</v>
      </c>
      <c r="B25" s="278"/>
      <c r="C25" s="152" t="s">
        <v>178</v>
      </c>
      <c r="D25" s="59">
        <f>50998.33+14953.68</f>
        <v>65952.01000000001</v>
      </c>
      <c r="E25" s="105" t="s">
        <v>87</v>
      </c>
      <c r="F25" s="40"/>
      <c r="G25" s="41"/>
      <c r="H25" s="30"/>
      <c r="I25" s="15"/>
      <c r="J25" s="43"/>
      <c r="K25" s="44"/>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row>
    <row r="26" spans="1:11" ht="38.25" customHeight="1">
      <c r="A26" s="255"/>
      <c r="B26" s="280"/>
      <c r="C26" s="149" t="s">
        <v>176</v>
      </c>
      <c r="D26" s="60">
        <f>1898+3740+432</f>
        <v>6070</v>
      </c>
      <c r="E26" s="105" t="s">
        <v>175</v>
      </c>
      <c r="F26" s="37"/>
      <c r="G26" s="32"/>
      <c r="H26" s="38"/>
      <c r="I26" s="32"/>
      <c r="J26" s="36"/>
      <c r="K26" s="47"/>
    </row>
    <row r="27" spans="1:114" s="46" customFormat="1" ht="19.5" customHeight="1">
      <c r="A27" s="153" t="s">
        <v>15</v>
      </c>
      <c r="B27" s="39">
        <f>B25</f>
        <v>0</v>
      </c>
      <c r="C27" s="152"/>
      <c r="D27" s="79">
        <f>SUM(D25:D26)</f>
        <v>72022.01000000001</v>
      </c>
      <c r="E27" s="80"/>
      <c r="F27" s="40"/>
      <c r="G27" s="41"/>
      <c r="H27" s="42">
        <f>SUM(H25:H26)</f>
        <v>0</v>
      </c>
      <c r="I27" s="31"/>
      <c r="J27" s="43"/>
      <c r="K27" s="44"/>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row>
    <row r="28" spans="1:114" s="46" customFormat="1" ht="86.25" customHeight="1">
      <c r="A28" s="254" t="s">
        <v>68</v>
      </c>
      <c r="B28" s="278"/>
      <c r="C28" s="152" t="s">
        <v>178</v>
      </c>
      <c r="D28" s="59">
        <f>50998.33+24922.8</f>
        <v>75921.13</v>
      </c>
      <c r="E28" s="105" t="s">
        <v>87</v>
      </c>
      <c r="F28" s="292"/>
      <c r="G28" s="293"/>
      <c r="H28" s="294"/>
      <c r="I28" s="294"/>
      <c r="J28" s="43"/>
      <c r="K28" s="4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row>
    <row r="29" spans="1:114" s="46" customFormat="1" ht="39.75" customHeight="1">
      <c r="A29" s="260"/>
      <c r="B29" s="279"/>
      <c r="C29" s="149" t="s">
        <v>176</v>
      </c>
      <c r="D29" s="60">
        <f>1952.75+5100+432</f>
        <v>7484.75</v>
      </c>
      <c r="E29" s="105" t="s">
        <v>175</v>
      </c>
      <c r="F29" s="292"/>
      <c r="G29" s="293"/>
      <c r="H29" s="294"/>
      <c r="I29" s="294"/>
      <c r="J29" s="43"/>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row>
    <row r="30" spans="1:114" s="46" customFormat="1" ht="21" customHeight="1">
      <c r="A30" s="255"/>
      <c r="B30" s="280"/>
      <c r="C30" s="158"/>
      <c r="D30" s="60"/>
      <c r="E30" s="59"/>
      <c r="F30" s="6"/>
      <c r="G30" s="41"/>
      <c r="H30" s="33"/>
      <c r="I30" s="33"/>
      <c r="J30" s="43"/>
      <c r="K30" s="44"/>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row>
    <row r="31" spans="1:114" s="46" customFormat="1" ht="22.5" customHeight="1">
      <c r="A31" s="153" t="s">
        <v>15</v>
      </c>
      <c r="B31" s="39">
        <f>SUM(B28:B29)</f>
        <v>0</v>
      </c>
      <c r="C31" s="159"/>
      <c r="D31" s="79">
        <f>SUM(D28:D30)</f>
        <v>83405.88</v>
      </c>
      <c r="E31" s="80"/>
      <c r="F31" s="50"/>
      <c r="G31" s="41"/>
      <c r="H31" s="33">
        <f>SUM(H28:H30)</f>
        <v>0</v>
      </c>
      <c r="I31" s="33"/>
      <c r="J31" s="43"/>
      <c r="K31" s="44"/>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row>
    <row r="32" spans="1:11" ht="21.75" customHeight="1">
      <c r="A32" s="254" t="s">
        <v>69</v>
      </c>
      <c r="B32" s="278"/>
      <c r="C32" s="152"/>
      <c r="D32" s="16"/>
      <c r="E32" s="81"/>
      <c r="F32" s="6"/>
      <c r="G32" s="32"/>
      <c r="H32" s="14"/>
      <c r="I32" s="14"/>
      <c r="J32" s="36"/>
      <c r="K32" s="47"/>
    </row>
    <row r="33" spans="1:11" ht="27.75" customHeight="1">
      <c r="A33" s="255"/>
      <c r="B33" s="280"/>
      <c r="C33" s="116"/>
      <c r="D33" s="16"/>
      <c r="E33" s="59"/>
      <c r="F33" s="6"/>
      <c r="G33" s="32"/>
      <c r="H33" s="14"/>
      <c r="I33" s="14"/>
      <c r="J33" s="36"/>
      <c r="K33" s="47"/>
    </row>
    <row r="34" spans="1:114" s="46" customFormat="1" ht="24" customHeight="1">
      <c r="A34" s="160" t="s">
        <v>15</v>
      </c>
      <c r="B34" s="39">
        <f>SUM(B32)</f>
        <v>0</v>
      </c>
      <c r="C34" s="159"/>
      <c r="D34" s="75">
        <f>D33+D32</f>
        <v>0</v>
      </c>
      <c r="E34" s="139"/>
      <c r="F34" s="10"/>
      <c r="G34" s="41"/>
      <c r="H34" s="33">
        <f>SUM(H32:H33)</f>
        <v>0</v>
      </c>
      <c r="I34" s="33"/>
      <c r="J34" s="43"/>
      <c r="K34" s="4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row>
    <row r="35" spans="1:114" s="46" customFormat="1" ht="33" customHeight="1">
      <c r="A35" s="254" t="s">
        <v>70</v>
      </c>
      <c r="B35" s="278"/>
      <c r="C35" s="152" t="s">
        <v>164</v>
      </c>
      <c r="D35" s="60">
        <v>50998.33</v>
      </c>
      <c r="E35" s="105" t="s">
        <v>87</v>
      </c>
      <c r="F35" s="10"/>
      <c r="G35" s="41"/>
      <c r="H35" s="33"/>
      <c r="I35" s="33"/>
      <c r="J35" s="43"/>
      <c r="K35" s="44"/>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row>
    <row r="36" spans="1:10" ht="18.75" customHeight="1">
      <c r="A36" s="255"/>
      <c r="B36" s="280"/>
      <c r="C36" s="152"/>
      <c r="D36" s="60"/>
      <c r="E36" s="107"/>
      <c r="F36" s="51"/>
      <c r="G36" s="32"/>
      <c r="H36" s="14"/>
      <c r="I36" s="14"/>
      <c r="J36" s="36"/>
    </row>
    <row r="37" spans="1:114" s="46" customFormat="1" ht="27.75" customHeight="1">
      <c r="A37" s="153" t="s">
        <v>15</v>
      </c>
      <c r="B37" s="39">
        <f>SUM(B35:B36)</f>
        <v>0</v>
      </c>
      <c r="C37" s="2"/>
      <c r="D37" s="23">
        <f>SUM(D35:D36)</f>
        <v>50998.33</v>
      </c>
      <c r="E37" s="82"/>
      <c r="F37" s="50"/>
      <c r="G37" s="41"/>
      <c r="H37" s="33">
        <f>SUM(H36:H36)</f>
        <v>0</v>
      </c>
      <c r="I37" s="33"/>
      <c r="J37" s="43"/>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row>
    <row r="38" spans="1:10" ht="90" customHeight="1">
      <c r="A38" s="254" t="s">
        <v>71</v>
      </c>
      <c r="B38" s="278"/>
      <c r="C38" s="152" t="s">
        <v>178</v>
      </c>
      <c r="D38" s="60">
        <f>50998.33+24922.8</f>
        <v>75921.13</v>
      </c>
      <c r="E38" s="125" t="s">
        <v>87</v>
      </c>
      <c r="F38" s="51"/>
      <c r="G38" s="32"/>
      <c r="H38" s="14"/>
      <c r="I38" s="14"/>
      <c r="J38" s="36"/>
    </row>
    <row r="39" spans="1:10" ht="15.75" customHeight="1">
      <c r="A39" s="260"/>
      <c r="B39" s="279"/>
      <c r="C39" s="152"/>
      <c r="D39" s="103"/>
      <c r="E39" s="113"/>
      <c r="F39" s="51"/>
      <c r="G39" s="32"/>
      <c r="H39" s="14"/>
      <c r="I39" s="14"/>
      <c r="J39" s="36"/>
    </row>
    <row r="40" spans="1:10" ht="41.25" customHeight="1">
      <c r="A40" s="255"/>
      <c r="B40" s="280"/>
      <c r="C40" s="149" t="s">
        <v>176</v>
      </c>
      <c r="D40" s="60">
        <f>1952.75+5100+432</f>
        <v>7484.75</v>
      </c>
      <c r="E40" s="105" t="s">
        <v>175</v>
      </c>
      <c r="F40" s="51"/>
      <c r="G40" s="32"/>
      <c r="H40" s="14"/>
      <c r="I40" s="14"/>
      <c r="J40" s="36"/>
    </row>
    <row r="41" spans="1:114" s="46" customFormat="1" ht="27" customHeight="1">
      <c r="A41" s="153" t="s">
        <v>15</v>
      </c>
      <c r="B41" s="39">
        <f>SUM(B38:B39)</f>
        <v>0</v>
      </c>
      <c r="C41" s="116"/>
      <c r="D41" s="23">
        <f>SUM(D38:D40)</f>
        <v>83405.88</v>
      </c>
      <c r="E41" s="82"/>
      <c r="F41" s="50"/>
      <c r="G41" s="41"/>
      <c r="H41" s="33">
        <f>H38</f>
        <v>0</v>
      </c>
      <c r="I41" s="33"/>
      <c r="J41" s="43"/>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row>
    <row r="42" spans="1:114" s="46" customFormat="1" ht="21" customHeight="1">
      <c r="A42" s="254" t="s">
        <v>7</v>
      </c>
      <c r="B42" s="278"/>
      <c r="C42" s="251"/>
      <c r="D42" s="60"/>
      <c r="E42" s="16"/>
      <c r="F42" s="50"/>
      <c r="G42" s="41"/>
      <c r="H42" s="14"/>
      <c r="I42" s="14"/>
      <c r="J42" s="43"/>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row>
    <row r="43" spans="1:10" ht="18" customHeight="1">
      <c r="A43" s="255"/>
      <c r="B43" s="280"/>
      <c r="C43" s="253"/>
      <c r="D43" s="16"/>
      <c r="E43" s="59"/>
      <c r="F43" s="6"/>
      <c r="G43" s="32"/>
      <c r="H43" s="14"/>
      <c r="I43" s="14"/>
      <c r="J43" s="36"/>
    </row>
    <row r="44" spans="1:114" s="46" customFormat="1" ht="23.25" customHeight="1">
      <c r="A44" s="153" t="s">
        <v>15</v>
      </c>
      <c r="B44" s="39">
        <f>SUM(B42)</f>
        <v>0</v>
      </c>
      <c r="C44" s="152"/>
      <c r="D44" s="22">
        <f>D43+D42</f>
        <v>0</v>
      </c>
      <c r="E44" s="60"/>
      <c r="F44" s="50"/>
      <c r="G44" s="41"/>
      <c r="H44" s="33">
        <f>SUM(H42:H43)</f>
        <v>0</v>
      </c>
      <c r="I44" s="33"/>
      <c r="J44" s="43"/>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row>
    <row r="45" spans="1:114" s="46" customFormat="1" ht="26.25" customHeight="1">
      <c r="A45" s="254" t="s">
        <v>16</v>
      </c>
      <c r="B45" s="278"/>
      <c r="C45" s="159"/>
      <c r="D45" s="16"/>
      <c r="E45" s="16"/>
      <c r="F45" s="50"/>
      <c r="G45" s="41"/>
      <c r="H45" s="14"/>
      <c r="I45" s="14"/>
      <c r="J45" s="43"/>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row>
    <row r="46" spans="1:10" ht="16.5" customHeight="1">
      <c r="A46" s="255"/>
      <c r="B46" s="280"/>
      <c r="C46" s="159"/>
      <c r="D46" s="78"/>
      <c r="E46" s="59"/>
      <c r="F46" s="6"/>
      <c r="G46" s="32"/>
      <c r="H46" s="14"/>
      <c r="I46" s="14"/>
      <c r="J46" s="36"/>
    </row>
    <row r="47" spans="1:114" s="46" customFormat="1" ht="27.75" customHeight="1">
      <c r="A47" s="153" t="s">
        <v>15</v>
      </c>
      <c r="B47" s="39">
        <f>SUM(B45:B45)</f>
        <v>0</v>
      </c>
      <c r="C47" s="161"/>
      <c r="D47" s="23">
        <f>D46+D45</f>
        <v>0</v>
      </c>
      <c r="E47" s="82"/>
      <c r="F47" s="50"/>
      <c r="G47" s="41"/>
      <c r="H47" s="33">
        <f>SUM(H45:H46)</f>
        <v>0</v>
      </c>
      <c r="I47" s="33"/>
      <c r="J47" s="43"/>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row>
    <row r="48" spans="1:114" s="46" customFormat="1" ht="153" customHeight="1">
      <c r="A48" s="254" t="s">
        <v>8</v>
      </c>
      <c r="B48" s="278">
        <f>20400+19370</f>
        <v>39770</v>
      </c>
      <c r="C48" s="162" t="s">
        <v>114</v>
      </c>
      <c r="D48" s="60"/>
      <c r="E48" s="59"/>
      <c r="F48" s="50"/>
      <c r="G48" s="41"/>
      <c r="H48" s="33"/>
      <c r="I48" s="33"/>
      <c r="J48" s="43"/>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row>
    <row r="49" spans="1:114" s="46" customFormat="1" ht="87" customHeight="1">
      <c r="A49" s="260"/>
      <c r="B49" s="279"/>
      <c r="C49" s="152" t="s">
        <v>178</v>
      </c>
      <c r="D49" s="59">
        <f>50998.33+19938.24</f>
        <v>70936.57</v>
      </c>
      <c r="E49" s="105" t="s">
        <v>87</v>
      </c>
      <c r="F49" s="50"/>
      <c r="G49" s="41"/>
      <c r="H49" s="33"/>
      <c r="I49" s="33"/>
      <c r="J49" s="43"/>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row>
    <row r="50" spans="1:10" ht="36.75" customHeight="1">
      <c r="A50" s="255"/>
      <c r="B50" s="280"/>
      <c r="C50" s="149" t="s">
        <v>176</v>
      </c>
      <c r="D50" s="60">
        <f>1825+4080+384</f>
        <v>6289</v>
      </c>
      <c r="E50" s="105" t="s">
        <v>175</v>
      </c>
      <c r="F50" s="5"/>
      <c r="G50" s="32"/>
      <c r="H50" s="14"/>
      <c r="I50" s="14"/>
      <c r="J50" s="36"/>
    </row>
    <row r="51" spans="1:114" s="46" customFormat="1" ht="31.5" customHeight="1">
      <c r="A51" s="153" t="s">
        <v>15</v>
      </c>
      <c r="B51" s="39">
        <f>SUM(B48)</f>
        <v>39770</v>
      </c>
      <c r="C51" s="152"/>
      <c r="D51" s="22">
        <f>SUM(D48:D50)</f>
        <v>77225.57</v>
      </c>
      <c r="E51" s="82"/>
      <c r="F51" s="50"/>
      <c r="G51" s="41"/>
      <c r="H51" s="33">
        <f>SUM(H49:H50)</f>
        <v>0</v>
      </c>
      <c r="I51" s="33"/>
      <c r="J51" s="43"/>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row>
    <row r="52" spans="1:114" s="46" customFormat="1" ht="15" customHeight="1">
      <c r="A52" s="254" t="s">
        <v>9</v>
      </c>
      <c r="B52" s="278">
        <v>8000</v>
      </c>
      <c r="C52" s="251" t="s">
        <v>115</v>
      </c>
      <c r="D52" s="59"/>
      <c r="E52" s="74"/>
      <c r="F52" s="50"/>
      <c r="G52" s="41"/>
      <c r="H52" s="33"/>
      <c r="I52" s="33"/>
      <c r="J52" s="43"/>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row>
    <row r="53" spans="1:10" ht="32.25" customHeight="1">
      <c r="A53" s="255"/>
      <c r="B53" s="280"/>
      <c r="C53" s="253"/>
      <c r="D53" s="16"/>
      <c r="E53" s="16"/>
      <c r="F53" s="5"/>
      <c r="G53" s="32"/>
      <c r="H53" s="12"/>
      <c r="I53" s="14"/>
      <c r="J53" s="36"/>
    </row>
    <row r="54" spans="1:114" s="46" customFormat="1" ht="19.5" customHeight="1">
      <c r="A54" s="153" t="s">
        <v>15</v>
      </c>
      <c r="B54" s="39">
        <f>B52</f>
        <v>8000</v>
      </c>
      <c r="C54" s="159"/>
      <c r="D54" s="22">
        <f>D53+D52</f>
        <v>0</v>
      </c>
      <c r="E54" s="82"/>
      <c r="F54" s="50">
        <f>F53</f>
        <v>0</v>
      </c>
      <c r="G54" s="41"/>
      <c r="H54" s="33">
        <f>SUM(H52:H53)</f>
        <v>0</v>
      </c>
      <c r="I54" s="33"/>
      <c r="J54" s="43"/>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row>
    <row r="55" spans="1:114" s="46" customFormat="1" ht="32.25" customHeight="1">
      <c r="A55" s="254" t="s">
        <v>10</v>
      </c>
      <c r="B55" s="278"/>
      <c r="C55" s="152"/>
      <c r="D55" s="59"/>
      <c r="E55" s="74"/>
      <c r="F55" s="50"/>
      <c r="G55" s="41"/>
      <c r="H55" s="33"/>
      <c r="I55" s="33"/>
      <c r="J55" s="43"/>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row>
    <row r="56" spans="1:10" ht="23.25" customHeight="1">
      <c r="A56" s="255"/>
      <c r="B56" s="280"/>
      <c r="C56" s="116"/>
      <c r="D56" s="16"/>
      <c r="E56" s="59"/>
      <c r="F56" s="5"/>
      <c r="G56" s="32"/>
      <c r="H56" s="14"/>
      <c r="I56" s="14"/>
      <c r="J56" s="36"/>
    </row>
    <row r="57" spans="1:114" s="46" customFormat="1" ht="21.75" customHeight="1">
      <c r="A57" s="153" t="s">
        <v>15</v>
      </c>
      <c r="B57" s="39">
        <f>SUM(B55:B55)</f>
        <v>0</v>
      </c>
      <c r="C57" s="152"/>
      <c r="D57" s="22">
        <f>D56+D55</f>
        <v>0</v>
      </c>
      <c r="E57" s="60"/>
      <c r="F57" s="50"/>
      <c r="G57" s="41"/>
      <c r="H57" s="33">
        <f>SUM(H55:H56)</f>
        <v>0</v>
      </c>
      <c r="I57" s="33"/>
      <c r="J57" s="43"/>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row>
    <row r="58" spans="1:114" s="46" customFormat="1" ht="24" customHeight="1">
      <c r="A58" s="254" t="s">
        <v>11</v>
      </c>
      <c r="B58" s="278"/>
      <c r="C58" s="152"/>
      <c r="D58" s="59"/>
      <c r="E58" s="74"/>
      <c r="F58" s="5"/>
      <c r="G58" s="32"/>
      <c r="H58" s="14"/>
      <c r="I58" s="14"/>
      <c r="J58" s="43"/>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row>
    <row r="59" spans="1:10" ht="23.25" customHeight="1">
      <c r="A59" s="255"/>
      <c r="B59" s="280"/>
      <c r="C59" s="116"/>
      <c r="D59" s="16"/>
      <c r="E59" s="59"/>
      <c r="F59" s="5"/>
      <c r="G59" s="32"/>
      <c r="H59" s="14"/>
      <c r="I59" s="14"/>
      <c r="J59" s="36"/>
    </row>
    <row r="60" spans="1:114" s="46" customFormat="1" ht="23.25" customHeight="1">
      <c r="A60" s="153" t="s">
        <v>15</v>
      </c>
      <c r="B60" s="52">
        <f>SUM(B58:B58)</f>
        <v>0</v>
      </c>
      <c r="C60" s="116"/>
      <c r="D60" s="22">
        <f>D59+D58</f>
        <v>0</v>
      </c>
      <c r="E60" s="60"/>
      <c r="F60" s="50">
        <f>F59+F58</f>
        <v>0</v>
      </c>
      <c r="G60" s="41"/>
      <c r="H60" s="33">
        <f>SUM(H58:H59)</f>
        <v>0</v>
      </c>
      <c r="I60" s="33"/>
      <c r="J60" s="43"/>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row>
    <row r="61" spans="1:114" s="46" customFormat="1" ht="13.5" customHeight="1">
      <c r="A61" s="254" t="s">
        <v>12</v>
      </c>
      <c r="B61" s="278"/>
      <c r="C61" s="251"/>
      <c r="D61" s="59"/>
      <c r="E61" s="74"/>
      <c r="F61" s="50"/>
      <c r="G61" s="41"/>
      <c r="H61" s="33"/>
      <c r="I61" s="33"/>
      <c r="J61" s="43"/>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row>
    <row r="62" spans="1:10" ht="18" customHeight="1">
      <c r="A62" s="255"/>
      <c r="B62" s="280"/>
      <c r="C62" s="253"/>
      <c r="D62" s="16"/>
      <c r="E62" s="16"/>
      <c r="F62" s="5"/>
      <c r="G62" s="32"/>
      <c r="H62" s="14"/>
      <c r="I62" s="14"/>
      <c r="J62" s="36"/>
    </row>
    <row r="63" spans="1:114" s="46" customFormat="1" ht="24.75" customHeight="1">
      <c r="A63" s="153" t="s">
        <v>15</v>
      </c>
      <c r="B63" s="39">
        <f>SUM(B61:B61)</f>
        <v>0</v>
      </c>
      <c r="C63" s="116"/>
      <c r="D63" s="22">
        <f>D62+D61</f>
        <v>0</v>
      </c>
      <c r="E63" s="82"/>
      <c r="F63" s="50"/>
      <c r="G63" s="41"/>
      <c r="H63" s="33">
        <f>SUM(H61:H62)</f>
        <v>0</v>
      </c>
      <c r="I63" s="33"/>
      <c r="J63" s="43"/>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row>
    <row r="64" spans="1:114" s="46" customFormat="1" ht="83.25" customHeight="1">
      <c r="A64" s="254" t="s">
        <v>13</v>
      </c>
      <c r="B64" s="278"/>
      <c r="C64" s="152" t="s">
        <v>178</v>
      </c>
      <c r="D64" s="59">
        <f>50998.33+14953.68</f>
        <v>65952.01000000001</v>
      </c>
      <c r="E64" s="105" t="s">
        <v>87</v>
      </c>
      <c r="F64" s="50"/>
      <c r="G64" s="41"/>
      <c r="H64" s="14"/>
      <c r="I64" s="14"/>
      <c r="J64" s="43"/>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row>
    <row r="65" spans="1:10" ht="37.5" customHeight="1">
      <c r="A65" s="255"/>
      <c r="B65" s="280"/>
      <c r="C65" s="149" t="s">
        <v>176</v>
      </c>
      <c r="D65" s="60">
        <f>1733.75+4080+432</f>
        <v>6245.75</v>
      </c>
      <c r="E65" s="105" t="s">
        <v>175</v>
      </c>
      <c r="F65" s="5"/>
      <c r="G65" s="32"/>
      <c r="H65" s="14"/>
      <c r="I65" s="14"/>
      <c r="J65" s="36"/>
    </row>
    <row r="66" spans="1:10" ht="21.75" customHeight="1">
      <c r="A66" s="153" t="s">
        <v>15</v>
      </c>
      <c r="B66" s="39">
        <f>SUM(B64:B64)</f>
        <v>0</v>
      </c>
      <c r="C66" s="116"/>
      <c r="D66" s="22">
        <f>D65+D64</f>
        <v>72197.76000000001</v>
      </c>
      <c r="E66" s="82"/>
      <c r="F66" s="50">
        <f>F65</f>
        <v>0</v>
      </c>
      <c r="G66" s="32"/>
      <c r="H66" s="33">
        <f>SUM(H64:H65)</f>
        <v>0</v>
      </c>
      <c r="I66" s="14"/>
      <c r="J66" s="36"/>
    </row>
    <row r="67" spans="1:10" s="56" customFormat="1" ht="24" customHeight="1">
      <c r="A67" s="258" t="s">
        <v>83</v>
      </c>
      <c r="B67" s="278"/>
      <c r="C67" s="152"/>
      <c r="D67" s="49"/>
      <c r="E67" s="74"/>
      <c r="F67" s="54"/>
      <c r="G67" s="4"/>
      <c r="H67" s="10"/>
      <c r="I67" s="11"/>
      <c r="J67" s="55"/>
    </row>
    <row r="68" spans="1:10" ht="24.75" customHeight="1">
      <c r="A68" s="259"/>
      <c r="B68" s="280"/>
      <c r="C68" s="116"/>
      <c r="D68" s="16"/>
      <c r="E68" s="59"/>
      <c r="F68" s="5"/>
      <c r="G68" s="32"/>
      <c r="H68" s="14"/>
      <c r="I68" s="14"/>
      <c r="J68" s="43"/>
    </row>
    <row r="69" spans="1:114" s="46" customFormat="1" ht="18" customHeight="1">
      <c r="A69" s="153" t="s">
        <v>15</v>
      </c>
      <c r="B69" s="39">
        <f>SUM(B67:B67)</f>
        <v>0</v>
      </c>
      <c r="C69" s="116"/>
      <c r="D69" s="22">
        <f>D68+D67</f>
        <v>0</v>
      </c>
      <c r="E69" s="23"/>
      <c r="F69" s="50">
        <f>F68</f>
        <v>0</v>
      </c>
      <c r="G69" s="41"/>
      <c r="H69" s="9">
        <f>SUM(H67:H68)</f>
        <v>0</v>
      </c>
      <c r="I69" s="33"/>
      <c r="J69" s="43"/>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row>
    <row r="70" spans="1:114" s="46" customFormat="1" ht="21" customHeight="1">
      <c r="A70" s="258" t="s">
        <v>82</v>
      </c>
      <c r="B70" s="278"/>
      <c r="C70" s="152"/>
      <c r="D70" s="16"/>
      <c r="E70" s="16"/>
      <c r="F70" s="50"/>
      <c r="G70" s="41"/>
      <c r="H70" s="14"/>
      <c r="I70" s="14"/>
      <c r="J70" s="43"/>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row>
    <row r="71" spans="1:10" ht="26.25" customHeight="1">
      <c r="A71" s="259"/>
      <c r="B71" s="280"/>
      <c r="C71" s="116"/>
      <c r="D71" s="59"/>
      <c r="E71" s="59"/>
      <c r="F71" s="5"/>
      <c r="G71" s="32"/>
      <c r="H71" s="33"/>
      <c r="I71" s="33"/>
      <c r="J71" s="43"/>
    </row>
    <row r="72" spans="1:114" s="46" customFormat="1" ht="30.75" customHeight="1">
      <c r="A72" s="153" t="s">
        <v>15</v>
      </c>
      <c r="B72" s="39">
        <f>SUM(B70:B70)</f>
        <v>0</v>
      </c>
      <c r="C72" s="116"/>
      <c r="D72" s="22">
        <f>D71+D70</f>
        <v>0</v>
      </c>
      <c r="E72" s="23"/>
      <c r="F72" s="50">
        <f>F71</f>
        <v>0</v>
      </c>
      <c r="G72" s="41"/>
      <c r="H72" s="33">
        <f>SUM(H70:H71)</f>
        <v>0</v>
      </c>
      <c r="I72" s="33"/>
      <c r="J72" s="43"/>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row>
    <row r="73" spans="1:114" s="46" customFormat="1" ht="30.75" customHeight="1">
      <c r="A73" s="163" t="s">
        <v>44</v>
      </c>
      <c r="B73" s="22">
        <f>B72+B69+B66+B63+B60+B57+B54+B51+B47+B44+B41+B37+B34+B31+B27+B24+B21+B18+B14</f>
        <v>58694</v>
      </c>
      <c r="C73" s="3"/>
      <c r="D73" s="22">
        <f>D72+D69+D66+D63+D60+D57+D54+D51+D47+D44+D41+D37+D34+D31+D27+D24+D21+D18+D14</f>
        <v>568035.52</v>
      </c>
      <c r="E73" s="23"/>
      <c r="F73" s="22">
        <f>F72+F69+F66+F63+F60+F57+F54+F51+F47+F44+F41+F37+F34+F31+F27+F24+F21+F18+F14</f>
        <v>0</v>
      </c>
      <c r="G73" s="4"/>
      <c r="H73" s="22">
        <f>H72+H69+H66+H63+H60+H57+H54+H51+H47+H44+H41+H37+H34+H31+H27+H24+H21+H18+H14</f>
        <v>0</v>
      </c>
      <c r="I73" s="120"/>
      <c r="J73" s="43"/>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row>
    <row r="74" spans="1:114" s="46" customFormat="1" ht="173.25" customHeight="1">
      <c r="A74" s="254" t="s">
        <v>72</v>
      </c>
      <c r="B74" s="278"/>
      <c r="C74" s="156" t="s">
        <v>180</v>
      </c>
      <c r="D74" s="122">
        <f>22321.38+32190+7776.26+1974.78+38565.36+13772.35+79120+35853+6808+9544.8</f>
        <v>247925.93</v>
      </c>
      <c r="E74" s="105" t="s">
        <v>87</v>
      </c>
      <c r="F74" s="118"/>
      <c r="G74" s="119"/>
      <c r="H74" s="33"/>
      <c r="I74" s="120"/>
      <c r="J74" s="43"/>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row>
    <row r="75" spans="1:114" s="46" customFormat="1" ht="124.5" customHeight="1">
      <c r="A75" s="260"/>
      <c r="B75" s="279"/>
      <c r="C75" s="156" t="s">
        <v>90</v>
      </c>
      <c r="D75" s="122">
        <v>151722</v>
      </c>
      <c r="E75" s="105" t="s">
        <v>80</v>
      </c>
      <c r="F75" s="118"/>
      <c r="G75" s="119"/>
      <c r="H75" s="33"/>
      <c r="I75" s="120"/>
      <c r="J75" s="43"/>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row>
    <row r="76" spans="1:114" s="46" customFormat="1" ht="28.5" customHeight="1">
      <c r="A76" s="260"/>
      <c r="B76" s="279"/>
      <c r="C76" s="162" t="s">
        <v>81</v>
      </c>
      <c r="D76" s="144">
        <f>673.92</f>
        <v>673.92</v>
      </c>
      <c r="E76" s="105" t="s">
        <v>91</v>
      </c>
      <c r="F76" s="118"/>
      <c r="G76" s="119"/>
      <c r="H76" s="33"/>
      <c r="I76" s="120"/>
      <c r="J76" s="43"/>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row>
    <row r="77" spans="1:114" s="46" customFormat="1" ht="36.75" customHeight="1">
      <c r="A77" s="260"/>
      <c r="B77" s="279"/>
      <c r="C77" s="128" t="s">
        <v>81</v>
      </c>
      <c r="D77" s="109">
        <v>1280.45</v>
      </c>
      <c r="E77" s="59" t="s">
        <v>92</v>
      </c>
      <c r="F77" s="118"/>
      <c r="G77" s="119"/>
      <c r="H77" s="33"/>
      <c r="I77" s="120"/>
      <c r="J77" s="43"/>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row>
    <row r="78" spans="1:114" s="46" customFormat="1" ht="45.75" customHeight="1">
      <c r="A78" s="260"/>
      <c r="B78" s="279"/>
      <c r="C78" s="146" t="s">
        <v>150</v>
      </c>
      <c r="D78" s="109">
        <f>240+10525+10943</f>
        <v>21708</v>
      </c>
      <c r="E78" s="106" t="s">
        <v>131</v>
      </c>
      <c r="F78" s="5"/>
      <c r="G78" s="14"/>
      <c r="H78" s="12"/>
      <c r="I78" s="15"/>
      <c r="J78" s="43"/>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row>
    <row r="79" spans="1:114" s="46" customFormat="1" ht="173.25" customHeight="1">
      <c r="A79" s="260"/>
      <c r="B79" s="279"/>
      <c r="C79" s="146" t="s">
        <v>133</v>
      </c>
      <c r="D79" s="109">
        <f>57558.22+112102.29+36683.7</f>
        <v>206344.21000000002</v>
      </c>
      <c r="E79" s="106" t="s">
        <v>132</v>
      </c>
      <c r="F79" s="5"/>
      <c r="G79" s="14"/>
      <c r="H79" s="12"/>
      <c r="I79" s="15"/>
      <c r="J79" s="43"/>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row>
    <row r="80" spans="1:114" s="46" customFormat="1" ht="65.25" customHeight="1">
      <c r="A80" s="255"/>
      <c r="B80" s="280"/>
      <c r="C80" s="146" t="s">
        <v>149</v>
      </c>
      <c r="D80" s="122">
        <f>234344+134230.34</f>
        <v>368574.33999999997</v>
      </c>
      <c r="E80" s="106" t="s">
        <v>148</v>
      </c>
      <c r="F80" s="5"/>
      <c r="G80" s="14"/>
      <c r="H80" s="12"/>
      <c r="I80" s="15"/>
      <c r="J80" s="43"/>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row>
    <row r="81" spans="1:114" s="46" customFormat="1" ht="27.75" customHeight="1">
      <c r="A81" s="153" t="s">
        <v>15</v>
      </c>
      <c r="B81" s="39">
        <f>B74</f>
        <v>0</v>
      </c>
      <c r="C81" s="2"/>
      <c r="D81" s="22">
        <f>SUM(D74:D80)</f>
        <v>998228.85</v>
      </c>
      <c r="E81" s="23"/>
      <c r="F81" s="50">
        <f>F80</f>
        <v>0</v>
      </c>
      <c r="G81" s="41"/>
      <c r="H81" s="9">
        <f>SUM(H78:H80)</f>
        <v>0</v>
      </c>
      <c r="I81" s="33"/>
      <c r="J81" s="43"/>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row>
    <row r="82" spans="1:114" s="46" customFormat="1" ht="48.75" customHeight="1">
      <c r="A82" s="254" t="s">
        <v>28</v>
      </c>
      <c r="B82" s="278"/>
      <c r="C82" s="21" t="s">
        <v>152</v>
      </c>
      <c r="D82" s="16">
        <v>450053.76</v>
      </c>
      <c r="E82" s="16" t="s">
        <v>151</v>
      </c>
      <c r="F82" s="288"/>
      <c r="G82" s="268"/>
      <c r="H82" s="9"/>
      <c r="I82" s="33"/>
      <c r="J82" s="43"/>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row>
    <row r="83" spans="1:114" s="46" customFormat="1" ht="29.25" customHeight="1">
      <c r="A83" s="260"/>
      <c r="B83" s="279"/>
      <c r="C83" s="150" t="s">
        <v>172</v>
      </c>
      <c r="D83" s="59">
        <f>23223.05</f>
        <v>23223.05</v>
      </c>
      <c r="E83" s="105" t="s">
        <v>87</v>
      </c>
      <c r="F83" s="289"/>
      <c r="G83" s="271"/>
      <c r="H83" s="14"/>
      <c r="I83" s="14"/>
      <c r="J83" s="43"/>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row>
    <row r="84" spans="1:9" ht="2.25" customHeight="1" hidden="1">
      <c r="A84" s="255"/>
      <c r="B84" s="280"/>
      <c r="C84" s="114"/>
      <c r="D84" s="59"/>
      <c r="E84" s="83"/>
      <c r="F84" s="290"/>
      <c r="G84" s="269"/>
      <c r="H84" s="57"/>
      <c r="I84" s="14"/>
    </row>
    <row r="85" spans="1:114" s="46" customFormat="1" ht="19.5" customHeight="1">
      <c r="A85" s="153" t="s">
        <v>15</v>
      </c>
      <c r="B85" s="39">
        <f>SUM(B82:B82)</f>
        <v>0</v>
      </c>
      <c r="C85" s="2"/>
      <c r="D85" s="101">
        <f>SUM(D82:D84)</f>
        <v>473276.81</v>
      </c>
      <c r="E85" s="84"/>
      <c r="F85" s="50">
        <f>F82</f>
        <v>0</v>
      </c>
      <c r="G85" s="41"/>
      <c r="H85" s="8">
        <f>SUM(H83:H84)</f>
        <v>0</v>
      </c>
      <c r="I85" s="33"/>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row>
    <row r="86" spans="1:114" s="46" customFormat="1" ht="85.5" customHeight="1">
      <c r="A86" s="254" t="s">
        <v>55</v>
      </c>
      <c r="B86" s="278"/>
      <c r="C86" s="152" t="s">
        <v>181</v>
      </c>
      <c r="D86" s="59">
        <f>50998.33+16415.05+9544.8</f>
        <v>76958.18000000001</v>
      </c>
      <c r="E86" s="105" t="s">
        <v>87</v>
      </c>
      <c r="F86" s="288"/>
      <c r="G86" s="268"/>
      <c r="H86" s="8"/>
      <c r="I86" s="33"/>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row>
    <row r="87" spans="1:114" s="46" customFormat="1" ht="21.75" customHeight="1">
      <c r="A87" s="255"/>
      <c r="B87" s="280"/>
      <c r="C87" s="114"/>
      <c r="D87" s="59"/>
      <c r="E87" s="59"/>
      <c r="F87" s="290"/>
      <c r="G87" s="269"/>
      <c r="H87" s="58"/>
      <c r="I87" s="58"/>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row>
    <row r="88" spans="1:114" s="46" customFormat="1" ht="26.25" customHeight="1">
      <c r="A88" s="153" t="s">
        <v>15</v>
      </c>
      <c r="B88" s="39">
        <f>SUM(B86:B87)</f>
        <v>0</v>
      </c>
      <c r="C88" s="3"/>
      <c r="D88" s="23">
        <f>SUM(D86:D87)</f>
        <v>76958.18000000001</v>
      </c>
      <c r="E88" s="23"/>
      <c r="F88" s="10">
        <f>F86</f>
        <v>0</v>
      </c>
      <c r="G88" s="41"/>
      <c r="H88" s="8">
        <f>SUM(H86:H87)</f>
        <v>0</v>
      </c>
      <c r="I88" s="33"/>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row>
    <row r="89" spans="1:114" s="46" customFormat="1" ht="91.5" customHeight="1">
      <c r="A89" s="254" t="s">
        <v>54</v>
      </c>
      <c r="B89" s="284"/>
      <c r="C89" s="128" t="s">
        <v>182</v>
      </c>
      <c r="D89" s="109">
        <f>5046.66+1974.78+20914.61+9544.8</f>
        <v>37480.85</v>
      </c>
      <c r="E89" s="105" t="s">
        <v>87</v>
      </c>
      <c r="F89" s="266"/>
      <c r="G89" s="268"/>
      <c r="H89" s="57"/>
      <c r="I89" s="14"/>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row>
    <row r="90" spans="1:114" s="46" customFormat="1" ht="23.25" customHeight="1">
      <c r="A90" s="260"/>
      <c r="B90" s="285"/>
      <c r="C90" s="136" t="s">
        <v>134</v>
      </c>
      <c r="D90" s="109">
        <v>4320</v>
      </c>
      <c r="E90" s="117" t="s">
        <v>136</v>
      </c>
      <c r="F90" s="270"/>
      <c r="G90" s="271"/>
      <c r="H90" s="57"/>
      <c r="I90" s="14"/>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row>
    <row r="91" spans="1:114" s="46" customFormat="1" ht="42" customHeight="1">
      <c r="A91" s="255"/>
      <c r="B91" s="286"/>
      <c r="C91" s="128" t="s">
        <v>121</v>
      </c>
      <c r="D91" s="109">
        <f>6770+5607</f>
        <v>12377</v>
      </c>
      <c r="E91" s="59" t="s">
        <v>108</v>
      </c>
      <c r="F91" s="267"/>
      <c r="G91" s="269"/>
      <c r="H91" s="8"/>
      <c r="I91" s="33"/>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row>
    <row r="92" spans="1:114" s="46" customFormat="1" ht="24" customHeight="1">
      <c r="A92" s="153" t="s">
        <v>15</v>
      </c>
      <c r="B92" s="39">
        <f>SUM(B89:B91)</f>
        <v>0</v>
      </c>
      <c r="C92" s="3"/>
      <c r="D92" s="22">
        <f>SUM(D89:D91)</f>
        <v>54177.85</v>
      </c>
      <c r="E92" s="23"/>
      <c r="F92" s="10">
        <f>F89</f>
        <v>0</v>
      </c>
      <c r="G92" s="41"/>
      <c r="H92" s="8">
        <f>SUM(H89:H91)</f>
        <v>0</v>
      </c>
      <c r="I92" s="33"/>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row>
    <row r="93" spans="1:114" s="46" customFormat="1" ht="28.5" customHeight="1">
      <c r="A93" s="254" t="s">
        <v>73</v>
      </c>
      <c r="B93" s="278"/>
      <c r="C93" s="162" t="s">
        <v>81</v>
      </c>
      <c r="D93" s="144">
        <v>1979.64</v>
      </c>
      <c r="E93" s="105" t="s">
        <v>91</v>
      </c>
      <c r="F93" s="123"/>
      <c r="G93" s="119"/>
      <c r="H93" s="8"/>
      <c r="I93" s="33"/>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row>
    <row r="94" spans="1:114" s="46" customFormat="1" ht="26.25" customHeight="1">
      <c r="A94" s="260"/>
      <c r="B94" s="279"/>
      <c r="C94" s="128" t="s">
        <v>81</v>
      </c>
      <c r="D94" s="109">
        <v>1280.45</v>
      </c>
      <c r="E94" s="59" t="s">
        <v>92</v>
      </c>
      <c r="F94" s="123"/>
      <c r="G94" s="119"/>
      <c r="H94" s="8"/>
      <c r="I94" s="33"/>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row>
    <row r="95" spans="1:114" s="46" customFormat="1" ht="107.25" customHeight="1">
      <c r="A95" s="260"/>
      <c r="B95" s="279"/>
      <c r="C95" s="128" t="s">
        <v>183</v>
      </c>
      <c r="D95" s="109">
        <f>26825+2047.2+1974.78+13772.35+62600+46446.1+9544.8</f>
        <v>163210.22999999998</v>
      </c>
      <c r="E95" s="105" t="s">
        <v>87</v>
      </c>
      <c r="F95" s="123"/>
      <c r="G95" s="119"/>
      <c r="H95" s="8"/>
      <c r="I95" s="33"/>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row>
    <row r="96" spans="1:9" ht="23.25" customHeight="1">
      <c r="A96" s="260"/>
      <c r="B96" s="279"/>
      <c r="C96" s="152" t="s">
        <v>29</v>
      </c>
      <c r="D96" s="109">
        <v>64487.68</v>
      </c>
      <c r="E96" s="109" t="s">
        <v>142</v>
      </c>
      <c r="F96" s="281"/>
      <c r="G96" s="268"/>
      <c r="H96" s="5"/>
      <c r="I96" s="14"/>
    </row>
    <row r="97" spans="1:9" ht="81.75" customHeight="1">
      <c r="A97" s="260"/>
      <c r="B97" s="279"/>
      <c r="C97" s="171" t="s">
        <v>154</v>
      </c>
      <c r="D97" s="82">
        <f>93980+22196.34+89605.8</f>
        <v>205782.14</v>
      </c>
      <c r="E97" s="171" t="s">
        <v>153</v>
      </c>
      <c r="F97" s="282"/>
      <c r="G97" s="271"/>
      <c r="H97" s="5"/>
      <c r="I97" s="14"/>
    </row>
    <row r="98" spans="1:9" ht="21.75" customHeight="1">
      <c r="A98" s="260"/>
      <c r="B98" s="279"/>
      <c r="C98" s="116" t="s">
        <v>155</v>
      </c>
      <c r="D98" s="82">
        <v>60</v>
      </c>
      <c r="E98" s="59" t="s">
        <v>108</v>
      </c>
      <c r="F98" s="282"/>
      <c r="G98" s="271"/>
      <c r="H98" s="5"/>
      <c r="I98" s="14"/>
    </row>
    <row r="99" spans="1:9" ht="12.75" customHeight="1">
      <c r="A99" s="260"/>
      <c r="B99" s="279"/>
      <c r="C99" s="152"/>
      <c r="D99" s="109"/>
      <c r="E99" s="106"/>
      <c r="F99" s="282"/>
      <c r="G99" s="271"/>
      <c r="H99" s="5"/>
      <c r="I99" s="14"/>
    </row>
    <row r="100" spans="1:9" ht="15" customHeight="1">
      <c r="A100" s="255"/>
      <c r="B100" s="280"/>
      <c r="C100" s="152"/>
      <c r="D100" s="109"/>
      <c r="E100" s="100"/>
      <c r="F100" s="283"/>
      <c r="G100" s="269"/>
      <c r="H100" s="5"/>
      <c r="I100" s="14"/>
    </row>
    <row r="101" spans="1:114" s="46" customFormat="1" ht="22.5" customHeight="1">
      <c r="A101" s="153" t="s">
        <v>15</v>
      </c>
      <c r="B101" s="52">
        <f>SUM(B93:B93)</f>
        <v>0</v>
      </c>
      <c r="C101" s="152"/>
      <c r="D101" s="22">
        <f>SUM(D93:D100)</f>
        <v>436800.14</v>
      </c>
      <c r="E101" s="23"/>
      <c r="F101" s="10">
        <f>F96</f>
        <v>0</v>
      </c>
      <c r="G101" s="41"/>
      <c r="H101" s="50">
        <f>H96</f>
        <v>0</v>
      </c>
      <c r="I101" s="33"/>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row>
    <row r="102" spans="1:114" s="46" customFormat="1" ht="174.75" customHeight="1" hidden="1">
      <c r="A102" s="153" t="s">
        <v>15</v>
      </c>
      <c r="B102" s="39">
        <f>SUM(B93:B101)</f>
        <v>0</v>
      </c>
      <c r="C102" s="2"/>
      <c r="D102" s="23"/>
      <c r="E102" s="22"/>
      <c r="F102" s="9"/>
      <c r="G102" s="41"/>
      <c r="H102" s="8"/>
      <c r="I102" s="8"/>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row>
    <row r="103" spans="1:114" s="46" customFormat="1" ht="16.5" customHeight="1" hidden="1">
      <c r="A103" s="164" t="s">
        <v>27</v>
      </c>
      <c r="B103" s="62">
        <v>10999</v>
      </c>
      <c r="C103" s="152" t="s">
        <v>35</v>
      </c>
      <c r="D103" s="23"/>
      <c r="E103" s="22"/>
      <c r="F103" s="9"/>
      <c r="G103" s="41"/>
      <c r="H103" s="8"/>
      <c r="I103" s="8"/>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row>
    <row r="104" spans="1:9" ht="17.25" customHeight="1" hidden="1">
      <c r="A104" s="164" t="s">
        <v>27</v>
      </c>
      <c r="B104" s="62">
        <v>1219</v>
      </c>
      <c r="C104" s="152" t="s">
        <v>29</v>
      </c>
      <c r="D104" s="60"/>
      <c r="E104" s="22"/>
      <c r="F104" s="12"/>
      <c r="G104" s="32"/>
      <c r="H104" s="57"/>
      <c r="I104" s="14"/>
    </row>
    <row r="105" spans="1:114" s="46" customFormat="1" ht="16.5" customHeight="1" hidden="1">
      <c r="A105" s="153" t="s">
        <v>15</v>
      </c>
      <c r="B105" s="39">
        <f>SUM(B103:B104)</f>
        <v>12218</v>
      </c>
      <c r="C105" s="2"/>
      <c r="D105" s="23"/>
      <c r="E105" s="22"/>
      <c r="F105" s="9"/>
      <c r="G105" s="41"/>
      <c r="H105" s="8"/>
      <c r="I105" s="8"/>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row>
    <row r="106" spans="1:114" s="46" customFormat="1" ht="16.5" customHeight="1" hidden="1">
      <c r="A106" s="164" t="s">
        <v>22</v>
      </c>
      <c r="B106" s="59">
        <v>3133</v>
      </c>
      <c r="C106" s="152" t="s">
        <v>30</v>
      </c>
      <c r="D106" s="60"/>
      <c r="E106" s="22"/>
      <c r="F106" s="9"/>
      <c r="G106" s="41"/>
      <c r="H106" s="8"/>
      <c r="I106" s="8"/>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row>
    <row r="107" spans="1:114" s="46" customFormat="1" ht="18.75" customHeight="1" hidden="1">
      <c r="A107" s="164" t="s">
        <v>22</v>
      </c>
      <c r="B107" s="59">
        <v>120</v>
      </c>
      <c r="C107" s="152" t="s">
        <v>26</v>
      </c>
      <c r="D107" s="60"/>
      <c r="E107" s="22"/>
      <c r="F107" s="9"/>
      <c r="G107" s="41"/>
      <c r="H107" s="8"/>
      <c r="I107" s="8"/>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row>
    <row r="108" spans="1:114" s="46" customFormat="1" ht="18.75" customHeight="1" hidden="1">
      <c r="A108" s="164" t="s">
        <v>22</v>
      </c>
      <c r="B108" s="59">
        <v>210</v>
      </c>
      <c r="C108" s="152" t="s">
        <v>26</v>
      </c>
      <c r="D108" s="60"/>
      <c r="E108" s="22"/>
      <c r="F108" s="9"/>
      <c r="G108" s="41"/>
      <c r="H108" s="8"/>
      <c r="I108" s="8"/>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row>
    <row r="109" spans="1:114" s="46" customFormat="1" ht="16.5" customHeight="1" hidden="1">
      <c r="A109" s="153" t="s">
        <v>15</v>
      </c>
      <c r="B109" s="22">
        <f>SUM(B106:B108)</f>
        <v>3463</v>
      </c>
      <c r="C109" s="2"/>
      <c r="D109" s="23"/>
      <c r="E109" s="22"/>
      <c r="F109" s="9"/>
      <c r="G109" s="41"/>
      <c r="H109" s="8"/>
      <c r="I109" s="8"/>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row>
    <row r="110" spans="1:114" s="46" customFormat="1" ht="17.25" customHeight="1" hidden="1">
      <c r="A110" s="164" t="s">
        <v>23</v>
      </c>
      <c r="B110" s="63">
        <v>60</v>
      </c>
      <c r="C110" s="152" t="s">
        <v>33</v>
      </c>
      <c r="D110" s="63">
        <v>149639.87</v>
      </c>
      <c r="E110" s="85" t="s">
        <v>32</v>
      </c>
      <c r="F110" s="6"/>
      <c r="G110" s="41"/>
      <c r="H110" s="61"/>
      <c r="I110" s="8"/>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row>
    <row r="111" spans="1:114" s="46" customFormat="1" ht="17.25" customHeight="1" hidden="1">
      <c r="A111" s="164" t="s">
        <v>23</v>
      </c>
      <c r="B111" s="63">
        <v>3951.33</v>
      </c>
      <c r="C111" s="152" t="s">
        <v>34</v>
      </c>
      <c r="D111" s="63"/>
      <c r="E111" s="85"/>
      <c r="F111" s="6"/>
      <c r="G111" s="41"/>
      <c r="H111" s="61"/>
      <c r="I111" s="8"/>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row>
    <row r="112" spans="1:114" s="46" customFormat="1" ht="24" customHeight="1">
      <c r="A112" s="254" t="s">
        <v>27</v>
      </c>
      <c r="B112" s="278"/>
      <c r="C112" s="156" t="s">
        <v>81</v>
      </c>
      <c r="D112" s="144">
        <v>673.92</v>
      </c>
      <c r="E112" s="105" t="s">
        <v>91</v>
      </c>
      <c r="F112" s="115"/>
      <c r="G112" s="119"/>
      <c r="H112" s="61"/>
      <c r="I112" s="8"/>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row>
    <row r="113" spans="1:114" s="46" customFormat="1" ht="20.25" customHeight="1">
      <c r="A113" s="260"/>
      <c r="B113" s="279"/>
      <c r="C113" s="128" t="s">
        <v>81</v>
      </c>
      <c r="D113" s="109">
        <v>1280.45</v>
      </c>
      <c r="E113" s="59" t="s">
        <v>92</v>
      </c>
      <c r="F113" s="115"/>
      <c r="G113" s="119"/>
      <c r="H113" s="61"/>
      <c r="I113" s="8"/>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row>
    <row r="114" spans="1:114" s="46" customFormat="1" ht="105" customHeight="1">
      <c r="A114" s="260"/>
      <c r="B114" s="279"/>
      <c r="C114" s="128" t="s">
        <v>184</v>
      </c>
      <c r="D114" s="109">
        <f>26825+7776.26+1974.78+13772.35+32830.1+9544.8</f>
        <v>92723.29</v>
      </c>
      <c r="E114" s="105" t="s">
        <v>87</v>
      </c>
      <c r="F114" s="115"/>
      <c r="G114" s="119"/>
      <c r="H114" s="61"/>
      <c r="I114" s="8"/>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row>
    <row r="115" spans="1:9" ht="29.25" customHeight="1">
      <c r="A115" s="260"/>
      <c r="B115" s="279"/>
      <c r="C115" s="156" t="s">
        <v>138</v>
      </c>
      <c r="D115" s="109">
        <f>1898+160+60</f>
        <v>2118</v>
      </c>
      <c r="E115" s="122" t="s">
        <v>108</v>
      </c>
      <c r="F115" s="281"/>
      <c r="G115" s="268"/>
      <c r="H115" s="57"/>
      <c r="I115" s="14"/>
    </row>
    <row r="116" spans="1:9" ht="20.25" customHeight="1">
      <c r="A116" s="260"/>
      <c r="B116" s="279"/>
      <c r="C116" s="156"/>
      <c r="D116" s="109"/>
      <c r="E116" s="109"/>
      <c r="F116" s="283"/>
      <c r="G116" s="269"/>
      <c r="H116" s="57"/>
      <c r="I116" s="104"/>
    </row>
    <row r="117" spans="1:114" s="46" customFormat="1" ht="19.5" customHeight="1">
      <c r="A117" s="153" t="s">
        <v>15</v>
      </c>
      <c r="B117" s="52">
        <f>SUM(B112:B112)</f>
        <v>0</v>
      </c>
      <c r="C117" s="158"/>
      <c r="D117" s="22">
        <f>SUM(D112:D116)</f>
        <v>96795.65999999999</v>
      </c>
      <c r="E117" s="23"/>
      <c r="F117" s="10">
        <f>F115</f>
        <v>0</v>
      </c>
      <c r="G117" s="41"/>
      <c r="H117" s="8">
        <f>SUM(H115:H116)</f>
        <v>0</v>
      </c>
      <c r="I117" s="33"/>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row>
    <row r="118" spans="1:114" s="46" customFormat="1" ht="85.5" customHeight="1">
      <c r="A118" s="254" t="s">
        <v>74</v>
      </c>
      <c r="B118" s="278"/>
      <c r="C118" s="152" t="s">
        <v>181</v>
      </c>
      <c r="D118" s="60">
        <f>50998.33+9607.05+9544.8</f>
        <v>70150.18000000001</v>
      </c>
      <c r="E118" s="105" t="s">
        <v>87</v>
      </c>
      <c r="F118" s="281"/>
      <c r="G118" s="268"/>
      <c r="H118" s="57"/>
      <c r="I118" s="14"/>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row>
    <row r="119" spans="1:9" ht="16.5" customHeight="1">
      <c r="A119" s="255"/>
      <c r="B119" s="280"/>
      <c r="C119" s="152"/>
      <c r="D119" s="60"/>
      <c r="E119" s="122"/>
      <c r="F119" s="283"/>
      <c r="G119" s="269"/>
      <c r="H119" s="60"/>
      <c r="I119" s="94"/>
    </row>
    <row r="120" spans="1:114" s="46" customFormat="1" ht="25.5" customHeight="1">
      <c r="A120" s="153" t="s">
        <v>15</v>
      </c>
      <c r="B120" s="39">
        <f>SUM(B118:B118)</f>
        <v>0</v>
      </c>
      <c r="C120" s="3"/>
      <c r="D120" s="22">
        <f>SUM(D118:D119)</f>
        <v>70150.18000000001</v>
      </c>
      <c r="E120" s="23"/>
      <c r="F120" s="10">
        <f>F118</f>
        <v>0</v>
      </c>
      <c r="G120" s="41"/>
      <c r="H120" s="8">
        <f>SUM(H118:H119)</f>
        <v>0</v>
      </c>
      <c r="I120" s="33"/>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row>
    <row r="121" spans="1:114" s="46" customFormat="1" ht="24.75" customHeight="1">
      <c r="A121" s="254" t="s">
        <v>75</v>
      </c>
      <c r="B121" s="278"/>
      <c r="C121" s="156" t="s">
        <v>81</v>
      </c>
      <c r="D121" s="144">
        <v>1305.72</v>
      </c>
      <c r="E121" s="105" t="s">
        <v>91</v>
      </c>
      <c r="F121" s="281"/>
      <c r="G121" s="268"/>
      <c r="H121" s="57"/>
      <c r="I121" s="14"/>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row>
    <row r="122" spans="1:114" s="46" customFormat="1" ht="26.25" customHeight="1">
      <c r="A122" s="260"/>
      <c r="B122" s="279"/>
      <c r="C122" s="128" t="s">
        <v>81</v>
      </c>
      <c r="D122" s="109">
        <v>1280.45</v>
      </c>
      <c r="E122" s="59" t="s">
        <v>92</v>
      </c>
      <c r="F122" s="282"/>
      <c r="G122" s="271"/>
      <c r="H122" s="57"/>
      <c r="I122" s="14"/>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row>
    <row r="123" spans="1:114" s="46" customFormat="1" ht="129.75" customHeight="1">
      <c r="A123" s="260"/>
      <c r="B123" s="279"/>
      <c r="C123" s="137" t="s">
        <v>185</v>
      </c>
      <c r="D123" s="109">
        <f>26825+7776.26+1974.78+17370.35+50998.33+23223.05+15300+9544.8</f>
        <v>153012.57</v>
      </c>
      <c r="E123" s="105" t="s">
        <v>87</v>
      </c>
      <c r="F123" s="282"/>
      <c r="G123" s="271"/>
      <c r="H123" s="57"/>
      <c r="I123" s="14"/>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row>
    <row r="124" spans="1:114" s="46" customFormat="1" ht="33.75" customHeight="1">
      <c r="A124" s="260"/>
      <c r="B124" s="279"/>
      <c r="C124" s="137" t="s">
        <v>156</v>
      </c>
      <c r="D124" s="109">
        <f>480+100</f>
        <v>580</v>
      </c>
      <c r="E124" s="138" t="s">
        <v>108</v>
      </c>
      <c r="F124" s="282"/>
      <c r="G124" s="271"/>
      <c r="H124" s="57"/>
      <c r="I124" s="14"/>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row>
    <row r="125" spans="1:114" s="46" customFormat="1" ht="7.5" customHeight="1">
      <c r="A125" s="260"/>
      <c r="B125" s="279"/>
      <c r="C125" s="156"/>
      <c r="D125" s="122"/>
      <c r="E125" s="105"/>
      <c r="F125" s="282"/>
      <c r="G125" s="271"/>
      <c r="H125" s="57"/>
      <c r="I125" s="14"/>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row>
    <row r="126" spans="1:9" ht="9.75" customHeight="1">
      <c r="A126" s="255"/>
      <c r="B126" s="280"/>
      <c r="C126" s="116"/>
      <c r="D126" s="122"/>
      <c r="E126" s="105"/>
      <c r="F126" s="283"/>
      <c r="G126" s="269"/>
      <c r="H126" s="57"/>
      <c r="I126" s="14"/>
    </row>
    <row r="127" spans="1:114" s="46" customFormat="1" ht="20.25" customHeight="1">
      <c r="A127" s="153" t="s">
        <v>15</v>
      </c>
      <c r="B127" s="39">
        <f>SUM(B121:B126)</f>
        <v>0</v>
      </c>
      <c r="C127" s="3"/>
      <c r="D127" s="22">
        <f>SUM(D121:D126)</f>
        <v>156178.74000000002</v>
      </c>
      <c r="E127" s="23"/>
      <c r="F127" s="10">
        <f>F121</f>
        <v>0</v>
      </c>
      <c r="G127" s="41"/>
      <c r="H127" s="8">
        <f>SUM(H121:H126)</f>
        <v>0</v>
      </c>
      <c r="I127" s="33"/>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row>
    <row r="128" spans="1:114" s="46" customFormat="1" ht="23.25" customHeight="1" hidden="1">
      <c r="A128" s="254" t="s">
        <v>76</v>
      </c>
      <c r="B128" s="278">
        <f>791.2+2245.96+562+806+2178.6</f>
        <v>6583.76</v>
      </c>
      <c r="C128" s="152"/>
      <c r="D128" s="59"/>
      <c r="E128" s="86"/>
      <c r="F128" s="281"/>
      <c r="G128" s="268"/>
      <c r="H128" s="8"/>
      <c r="I128" s="33"/>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row>
    <row r="129" spans="1:114" s="46" customFormat="1" ht="218.25" customHeight="1">
      <c r="A129" s="260"/>
      <c r="B129" s="279"/>
      <c r="C129" s="162" t="s">
        <v>186</v>
      </c>
      <c r="D129" s="122">
        <f>33517.38+22321.38+32190+7776.26+1974.78+40315.36+13772.35+79120+60051+16415.05+9544.8</f>
        <v>316998.36</v>
      </c>
      <c r="E129" s="105" t="s">
        <v>87</v>
      </c>
      <c r="F129" s="282"/>
      <c r="G129" s="271"/>
      <c r="H129" s="8"/>
      <c r="I129" s="120"/>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row>
    <row r="130" spans="1:114" s="46" customFormat="1" ht="19.5" customHeight="1">
      <c r="A130" s="260"/>
      <c r="B130" s="279"/>
      <c r="C130" s="128" t="s">
        <v>29</v>
      </c>
      <c r="D130" s="109"/>
      <c r="E130" s="122"/>
      <c r="F130" s="282"/>
      <c r="G130" s="271"/>
      <c r="H130" s="8"/>
      <c r="I130" s="120"/>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row>
    <row r="131" spans="1:114" s="46" customFormat="1" ht="141.75" customHeight="1">
      <c r="A131" s="260"/>
      <c r="B131" s="279"/>
      <c r="C131" s="156" t="s">
        <v>106</v>
      </c>
      <c r="D131" s="122">
        <v>142506</v>
      </c>
      <c r="E131" s="105" t="s">
        <v>80</v>
      </c>
      <c r="F131" s="282"/>
      <c r="G131" s="271"/>
      <c r="H131" s="8"/>
      <c r="I131" s="120"/>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row>
    <row r="132" spans="1:114" s="46" customFormat="1" ht="218.25" customHeight="1">
      <c r="A132" s="260"/>
      <c r="B132" s="279"/>
      <c r="C132" s="146" t="s">
        <v>158</v>
      </c>
      <c r="D132" s="109">
        <v>402168.72</v>
      </c>
      <c r="E132" s="106" t="s">
        <v>132</v>
      </c>
      <c r="F132" s="282"/>
      <c r="G132" s="271"/>
      <c r="H132" s="8"/>
      <c r="I132" s="120"/>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row>
    <row r="133" spans="1:114" s="46" customFormat="1" ht="41.25" customHeight="1">
      <c r="A133" s="260"/>
      <c r="B133" s="279"/>
      <c r="C133" s="156" t="s">
        <v>157</v>
      </c>
      <c r="D133" s="122">
        <f>750+240+6175</f>
        <v>7165</v>
      </c>
      <c r="E133" s="105" t="s">
        <v>108</v>
      </c>
      <c r="F133" s="282"/>
      <c r="G133" s="271"/>
      <c r="H133" s="8"/>
      <c r="I133" s="120"/>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row>
    <row r="134" spans="1:114" s="46" customFormat="1" ht="47.25" customHeight="1">
      <c r="A134" s="260"/>
      <c r="B134" s="279"/>
      <c r="C134" s="165" t="s">
        <v>160</v>
      </c>
      <c r="D134" s="122">
        <v>245480.54</v>
      </c>
      <c r="E134" s="172" t="s">
        <v>159</v>
      </c>
      <c r="F134" s="282"/>
      <c r="G134" s="271"/>
      <c r="H134" s="8"/>
      <c r="I134" s="120"/>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row>
    <row r="135" spans="1:114" s="46" customFormat="1" ht="24.75" customHeight="1">
      <c r="A135" s="260"/>
      <c r="B135" s="279"/>
      <c r="C135" s="165" t="s">
        <v>113</v>
      </c>
      <c r="D135" s="109">
        <f>1082.18</f>
        <v>1082.18</v>
      </c>
      <c r="E135" s="122" t="s">
        <v>112</v>
      </c>
      <c r="F135" s="282"/>
      <c r="G135" s="271"/>
      <c r="H135" s="8"/>
      <c r="I135" s="120"/>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row>
    <row r="136" spans="1:114" s="46" customFormat="1" ht="122.25" customHeight="1">
      <c r="A136" s="260"/>
      <c r="B136" s="279"/>
      <c r="C136" s="165" t="s">
        <v>173</v>
      </c>
      <c r="D136" s="109">
        <f>87150+800+75472.25+29277.9+96513.89+106300</f>
        <v>395514.04</v>
      </c>
      <c r="E136" s="122" t="s">
        <v>110</v>
      </c>
      <c r="F136" s="282"/>
      <c r="G136" s="271"/>
      <c r="H136" s="8"/>
      <c r="I136" s="120"/>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row>
    <row r="137" spans="1:114" s="46" customFormat="1" ht="24" customHeight="1">
      <c r="A137" s="153" t="s">
        <v>15</v>
      </c>
      <c r="B137" s="52">
        <f>SUM(B128:B128)</f>
        <v>6583.76</v>
      </c>
      <c r="C137" s="152"/>
      <c r="D137" s="22">
        <f>SUM(D129:D136)</f>
        <v>1510914.8399999999</v>
      </c>
      <c r="E137" s="60"/>
      <c r="F137" s="10">
        <f>F128</f>
        <v>0</v>
      </c>
      <c r="G137" s="41"/>
      <c r="H137" s="50">
        <f>SUM(H128:H136)</f>
        <v>0</v>
      </c>
      <c r="I137" s="33"/>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row>
    <row r="138" spans="1:114" s="46" customFormat="1" ht="29.25" customHeight="1">
      <c r="A138" s="277" t="s">
        <v>37</v>
      </c>
      <c r="B138" s="278"/>
      <c r="C138" s="156" t="s">
        <v>81</v>
      </c>
      <c r="D138" s="144">
        <v>1305.72</v>
      </c>
      <c r="E138" s="105" t="s">
        <v>91</v>
      </c>
      <c r="F138" s="266"/>
      <c r="G138" s="268"/>
      <c r="H138" s="57"/>
      <c r="I138" s="14"/>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row>
    <row r="139" spans="1:114" s="46" customFormat="1" ht="20.25" customHeight="1">
      <c r="A139" s="277"/>
      <c r="B139" s="279"/>
      <c r="C139" s="128" t="s">
        <v>81</v>
      </c>
      <c r="D139" s="109">
        <v>1280.45</v>
      </c>
      <c r="E139" s="59" t="s">
        <v>92</v>
      </c>
      <c r="F139" s="270"/>
      <c r="G139" s="271"/>
      <c r="H139" s="57"/>
      <c r="I139" s="14"/>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row>
    <row r="140" spans="1:114" s="46" customFormat="1" ht="107.25" customHeight="1">
      <c r="A140" s="277"/>
      <c r="B140" s="279"/>
      <c r="C140" s="165" t="s">
        <v>187</v>
      </c>
      <c r="D140" s="122">
        <f>2729.6+1974.78+20217.91+6808+26825+9544.8</f>
        <v>68100.09</v>
      </c>
      <c r="E140" s="105" t="s">
        <v>87</v>
      </c>
      <c r="F140" s="270"/>
      <c r="G140" s="271"/>
      <c r="H140" s="57"/>
      <c r="I140" s="14"/>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row>
    <row r="141" spans="1:114" s="46" customFormat="1" ht="27" customHeight="1">
      <c r="A141" s="277"/>
      <c r="B141" s="279"/>
      <c r="C141" s="156" t="s">
        <v>120</v>
      </c>
      <c r="D141" s="122">
        <v>240</v>
      </c>
      <c r="E141" s="105" t="s">
        <v>108</v>
      </c>
      <c r="F141" s="270"/>
      <c r="G141" s="271"/>
      <c r="H141" s="57"/>
      <c r="I141" s="14"/>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row>
    <row r="142" spans="1:114" s="46" customFormat="1" ht="16.5" customHeight="1">
      <c r="A142" s="277"/>
      <c r="B142" s="280"/>
      <c r="C142" s="128"/>
      <c r="D142" s="109"/>
      <c r="E142" s="122"/>
      <c r="F142" s="267"/>
      <c r="G142" s="269"/>
      <c r="H142" s="61"/>
      <c r="I142" s="8"/>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row>
    <row r="143" spans="1:114" s="46" customFormat="1" ht="19.5" customHeight="1">
      <c r="A143" s="153" t="s">
        <v>15</v>
      </c>
      <c r="B143" s="64">
        <f>B138</f>
        <v>0</v>
      </c>
      <c r="C143" s="2"/>
      <c r="D143" s="64">
        <f>SUM(D138:D142)</f>
        <v>70926.26</v>
      </c>
      <c r="E143" s="22"/>
      <c r="F143" s="9">
        <f>F138</f>
        <v>0</v>
      </c>
      <c r="G143" s="41"/>
      <c r="H143" s="8">
        <f>SUM(H138:H142)</f>
        <v>0</v>
      </c>
      <c r="I143" s="8"/>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row>
    <row r="144" spans="1:114" s="46" customFormat="1" ht="132.75" customHeight="1">
      <c r="A144" s="254" t="s">
        <v>53</v>
      </c>
      <c r="B144" s="261"/>
      <c r="C144" s="156" t="s">
        <v>188</v>
      </c>
      <c r="D144" s="122">
        <f>1974.78+26331.26+35853+45236.2+9544.8</f>
        <v>118940.04</v>
      </c>
      <c r="E144" s="105" t="s">
        <v>87</v>
      </c>
      <c r="F144" s="266"/>
      <c r="G144" s="268"/>
      <c r="H144" s="8"/>
      <c r="I144" s="8"/>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row>
    <row r="145" spans="1:114" s="46" customFormat="1" ht="58.5" customHeight="1">
      <c r="A145" s="260"/>
      <c r="B145" s="262"/>
      <c r="C145" s="158" t="s">
        <v>161</v>
      </c>
      <c r="D145" s="122">
        <f>7740+6552+420</f>
        <v>14712</v>
      </c>
      <c r="E145" s="122" t="s">
        <v>108</v>
      </c>
      <c r="F145" s="270"/>
      <c r="G145" s="271"/>
      <c r="H145" s="8"/>
      <c r="I145" s="8"/>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row>
    <row r="146" spans="1:114" s="46" customFormat="1" ht="19.5" customHeight="1">
      <c r="A146" s="260"/>
      <c r="B146" s="262"/>
      <c r="C146" s="158" t="s">
        <v>134</v>
      </c>
      <c r="D146" s="122">
        <v>4320</v>
      </c>
      <c r="E146" s="106" t="s">
        <v>141</v>
      </c>
      <c r="F146" s="267"/>
      <c r="G146" s="269"/>
      <c r="H146" s="61"/>
      <c r="I146" s="8"/>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row>
    <row r="147" spans="1:114" s="46" customFormat="1" ht="21" customHeight="1">
      <c r="A147" s="153" t="s">
        <v>15</v>
      </c>
      <c r="B147" s="64">
        <f>SUM(B144)</f>
        <v>0</v>
      </c>
      <c r="C147" s="2"/>
      <c r="D147" s="64">
        <f>SUM(D144:D146)</f>
        <v>137972.03999999998</v>
      </c>
      <c r="E147" s="22"/>
      <c r="F147" s="9">
        <f>F144</f>
        <v>0</v>
      </c>
      <c r="G147" s="41"/>
      <c r="H147" s="8">
        <f>SUM(H144:H146)</f>
        <v>0</v>
      </c>
      <c r="I147" s="8"/>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row>
    <row r="148" spans="1:114" s="46" customFormat="1" ht="33.75" customHeight="1">
      <c r="A148" s="254" t="s">
        <v>77</v>
      </c>
      <c r="B148" s="261"/>
      <c r="C148" s="152" t="s">
        <v>164</v>
      </c>
      <c r="D148" s="59">
        <v>50998.33</v>
      </c>
      <c r="E148" s="105" t="s">
        <v>87</v>
      </c>
      <c r="F148" s="9"/>
      <c r="G148" s="41"/>
      <c r="H148" s="8"/>
      <c r="I148" s="8"/>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row>
    <row r="149" spans="1:114" s="46" customFormat="1" ht="20.25" customHeight="1">
      <c r="A149" s="255"/>
      <c r="B149" s="265"/>
      <c r="C149" s="166"/>
      <c r="D149" s="131"/>
      <c r="E149" s="109"/>
      <c r="F149" s="170"/>
      <c r="G149" s="110"/>
      <c r="H149" s="8"/>
      <c r="I149" s="8"/>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row>
    <row r="150" spans="1:114" s="46" customFormat="1" ht="19.5" customHeight="1">
      <c r="A150" s="153" t="s">
        <v>15</v>
      </c>
      <c r="B150" s="22">
        <f>SUM(B148)</f>
        <v>0</v>
      </c>
      <c r="C150" s="2"/>
      <c r="D150" s="23">
        <f>SUM(D148:D149)</f>
        <v>50998.33</v>
      </c>
      <c r="E150" s="103"/>
      <c r="F150" s="9"/>
      <c r="G150" s="41"/>
      <c r="H150" s="8">
        <f>SUM(H149:H149)</f>
        <v>0</v>
      </c>
      <c r="I150" s="8"/>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row>
    <row r="151" spans="1:114" s="46" customFormat="1" ht="33.75" customHeight="1">
      <c r="A151" s="254" t="s">
        <v>38</v>
      </c>
      <c r="B151" s="261"/>
      <c r="C151" s="152" t="s">
        <v>164</v>
      </c>
      <c r="D151" s="59">
        <v>50998.33</v>
      </c>
      <c r="E151" s="105" t="s">
        <v>87</v>
      </c>
      <c r="F151" s="266"/>
      <c r="G151" s="268"/>
      <c r="H151" s="57"/>
      <c r="I151" s="14"/>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row>
    <row r="152" spans="1:114" s="46" customFormat="1" ht="15.75" customHeight="1">
      <c r="A152" s="255"/>
      <c r="B152" s="265"/>
      <c r="C152" s="152"/>
      <c r="D152" s="83"/>
      <c r="E152" s="122"/>
      <c r="F152" s="267"/>
      <c r="G152" s="269"/>
      <c r="H152" s="8"/>
      <c r="I152" s="8"/>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row>
    <row r="153" spans="1:114" s="46" customFormat="1" ht="19.5" customHeight="1">
      <c r="A153" s="153" t="s">
        <v>15</v>
      </c>
      <c r="B153" s="22">
        <f>B151</f>
        <v>0</v>
      </c>
      <c r="C153" s="2"/>
      <c r="D153" s="23">
        <f>D151+D152</f>
        <v>50998.33</v>
      </c>
      <c r="E153" s="59"/>
      <c r="F153" s="9">
        <f>F151</f>
        <v>0</v>
      </c>
      <c r="G153" s="41"/>
      <c r="H153" s="8">
        <f>SUM(H151:H152)</f>
        <v>0</v>
      </c>
      <c r="I153" s="8"/>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row>
    <row r="154" spans="1:114" s="46" customFormat="1" ht="96.75" customHeight="1">
      <c r="A154" s="254" t="s">
        <v>56</v>
      </c>
      <c r="B154" s="261">
        <f>150+63.25</f>
        <v>213.25</v>
      </c>
      <c r="C154" s="128" t="s">
        <v>189</v>
      </c>
      <c r="D154" s="60">
        <f>5046.66+1974.78+26368.76+4772.4</f>
        <v>38162.6</v>
      </c>
      <c r="E154" s="105" t="s">
        <v>87</v>
      </c>
      <c r="F154" s="266"/>
      <c r="G154" s="274"/>
      <c r="H154" s="57"/>
      <c r="I154" s="14"/>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row>
    <row r="155" spans="1:114" s="46" customFormat="1" ht="19.5" customHeight="1">
      <c r="A155" s="260"/>
      <c r="B155" s="262"/>
      <c r="C155" s="149" t="s">
        <v>118</v>
      </c>
      <c r="D155" s="60"/>
      <c r="E155" s="105"/>
      <c r="F155" s="270"/>
      <c r="G155" s="275"/>
      <c r="H155" s="57"/>
      <c r="I155" s="14"/>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row>
    <row r="156" spans="1:114" s="46" customFormat="1" ht="39.75" customHeight="1">
      <c r="A156" s="260"/>
      <c r="B156" s="262"/>
      <c r="C156" s="149" t="s">
        <v>176</v>
      </c>
      <c r="D156" s="60">
        <f>1314+4080+432</f>
        <v>5826</v>
      </c>
      <c r="E156" s="105" t="s">
        <v>175</v>
      </c>
      <c r="F156" s="270"/>
      <c r="G156" s="275"/>
      <c r="H156" s="57"/>
      <c r="I156" s="14"/>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row>
    <row r="157" spans="1:114" s="46" customFormat="1" ht="53.25" customHeight="1">
      <c r="A157" s="255"/>
      <c r="B157" s="265"/>
      <c r="C157" s="114" t="s">
        <v>162</v>
      </c>
      <c r="D157" s="82">
        <f>7740+6242</f>
        <v>13982</v>
      </c>
      <c r="E157" s="59" t="s">
        <v>131</v>
      </c>
      <c r="F157" s="267"/>
      <c r="G157" s="276"/>
      <c r="H157" s="8"/>
      <c r="I157" s="8"/>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row>
    <row r="158" spans="1:114" s="46" customFormat="1" ht="21.75" customHeight="1">
      <c r="A158" s="153" t="s">
        <v>15</v>
      </c>
      <c r="B158" s="22">
        <f>B154</f>
        <v>213.25</v>
      </c>
      <c r="C158" s="2"/>
      <c r="D158" s="23">
        <f>SUM(D154:D157)</f>
        <v>57970.6</v>
      </c>
      <c r="E158" s="59"/>
      <c r="F158" s="9">
        <f>F154</f>
        <v>0</v>
      </c>
      <c r="G158" s="41"/>
      <c r="H158" s="8">
        <f>SUM(H154:H157)</f>
        <v>0</v>
      </c>
      <c r="I158" s="8"/>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row>
    <row r="159" spans="1:114" s="46" customFormat="1" ht="21" customHeight="1">
      <c r="A159" s="254" t="s">
        <v>78</v>
      </c>
      <c r="B159" s="261"/>
      <c r="C159" s="156" t="s">
        <v>81</v>
      </c>
      <c r="D159" s="144">
        <v>673.92</v>
      </c>
      <c r="E159" s="105" t="s">
        <v>91</v>
      </c>
      <c r="F159" s="126"/>
      <c r="G159" s="119"/>
      <c r="H159" s="8"/>
      <c r="I159" s="8"/>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row>
    <row r="160" spans="1:114" s="46" customFormat="1" ht="24.75" customHeight="1">
      <c r="A160" s="260"/>
      <c r="B160" s="262"/>
      <c r="C160" s="128" t="s">
        <v>81</v>
      </c>
      <c r="D160" s="109">
        <v>2560.9</v>
      </c>
      <c r="E160" s="59" t="s">
        <v>92</v>
      </c>
      <c r="F160" s="126"/>
      <c r="G160" s="119"/>
      <c r="H160" s="8"/>
      <c r="I160" s="8"/>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row>
    <row r="161" spans="1:114" s="46" customFormat="1" ht="54" customHeight="1">
      <c r="A161" s="260"/>
      <c r="B161" s="262"/>
      <c r="C161" s="136" t="s">
        <v>93</v>
      </c>
      <c r="D161" s="131">
        <v>165000</v>
      </c>
      <c r="E161" s="135" t="s">
        <v>97</v>
      </c>
      <c r="F161" s="126"/>
      <c r="G161" s="119"/>
      <c r="H161" s="8"/>
      <c r="I161" s="8"/>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row>
    <row r="162" spans="1:114" s="46" customFormat="1" ht="66" customHeight="1">
      <c r="A162" s="260"/>
      <c r="B162" s="262"/>
      <c r="C162" s="128" t="s">
        <v>125</v>
      </c>
      <c r="D162" s="148">
        <f>26825+2729.6+1974.78+13772.35</f>
        <v>45301.729999999996</v>
      </c>
      <c r="E162" s="105" t="s">
        <v>87</v>
      </c>
      <c r="F162" s="266"/>
      <c r="G162" s="268"/>
      <c r="H162" s="59"/>
      <c r="I162" s="94"/>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row>
    <row r="163" spans="1:114" s="46" customFormat="1" ht="22.5" customHeight="1">
      <c r="A163" s="260"/>
      <c r="B163" s="262"/>
      <c r="C163" s="156" t="s">
        <v>143</v>
      </c>
      <c r="D163" s="122">
        <f>75+544</f>
        <v>619</v>
      </c>
      <c r="E163" s="105" t="s">
        <v>108</v>
      </c>
      <c r="F163" s="270"/>
      <c r="G163" s="271"/>
      <c r="H163" s="59"/>
      <c r="I163" s="94"/>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row>
    <row r="164" spans="1:114" s="46" customFormat="1" ht="15.75">
      <c r="A164" s="255"/>
      <c r="B164" s="265"/>
      <c r="C164" s="162"/>
      <c r="D164" s="122"/>
      <c r="E164" s="105"/>
      <c r="F164" s="267"/>
      <c r="G164" s="269"/>
      <c r="H164" s="8"/>
      <c r="I164" s="8"/>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row>
    <row r="165" spans="1:114" s="46" customFormat="1" ht="19.5" customHeight="1">
      <c r="A165" s="153" t="s">
        <v>15</v>
      </c>
      <c r="B165" s="22">
        <f>SUM(B159)</f>
        <v>0</v>
      </c>
      <c r="C165" s="2"/>
      <c r="D165" s="23">
        <f>SUM(D159:D164)</f>
        <v>214155.55</v>
      </c>
      <c r="E165" s="59"/>
      <c r="F165" s="9">
        <f>F162</f>
        <v>0</v>
      </c>
      <c r="G165" s="41"/>
      <c r="H165" s="8">
        <f>SUM(H162:H164)</f>
        <v>0</v>
      </c>
      <c r="I165" s="8"/>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row>
    <row r="166" spans="1:114" s="46" customFormat="1" ht="20.25" customHeight="1" hidden="1">
      <c r="A166" s="254" t="s">
        <v>39</v>
      </c>
      <c r="B166" s="261"/>
      <c r="C166" s="272"/>
      <c r="D166" s="83"/>
      <c r="E166" s="16"/>
      <c r="F166" s="266"/>
      <c r="G166" s="268"/>
      <c r="H166" s="57"/>
      <c r="I166" s="14"/>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row>
    <row r="167" spans="1:114" s="46" customFormat="1" ht="0.75" customHeight="1" hidden="1">
      <c r="A167" s="260"/>
      <c r="B167" s="262"/>
      <c r="C167" s="273"/>
      <c r="D167" s="88"/>
      <c r="E167" s="88"/>
      <c r="F167" s="270"/>
      <c r="G167" s="271"/>
      <c r="H167" s="8"/>
      <c r="I167" s="8"/>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row>
    <row r="168" spans="1:114" s="46" customFormat="1" ht="20.25" customHeight="1" hidden="1">
      <c r="A168" s="255"/>
      <c r="B168" s="265"/>
      <c r="C168" s="152"/>
      <c r="D168" s="59"/>
      <c r="E168" s="78"/>
      <c r="F168" s="267"/>
      <c r="G168" s="269"/>
      <c r="H168" s="8"/>
      <c r="I168" s="8"/>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row>
    <row r="169" spans="1:114" s="46" customFormat="1" ht="19.5" customHeight="1" hidden="1">
      <c r="A169" s="153" t="s">
        <v>15</v>
      </c>
      <c r="B169" s="22">
        <f>SUM(B166)</f>
        <v>0</v>
      </c>
      <c r="C169" s="2"/>
      <c r="D169" s="23">
        <f>SUM(D166:D168)</f>
        <v>0</v>
      </c>
      <c r="E169" s="59"/>
      <c r="F169" s="9">
        <f>F166</f>
        <v>0</v>
      </c>
      <c r="G169" s="41"/>
      <c r="H169" s="8">
        <f>SUM(H166:H168)</f>
        <v>0</v>
      </c>
      <c r="I169" s="8"/>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row>
    <row r="170" spans="1:114" s="46" customFormat="1" ht="27.75" customHeight="1">
      <c r="A170" s="254" t="s">
        <v>40</v>
      </c>
      <c r="B170" s="261"/>
      <c r="C170" s="156" t="s">
        <v>81</v>
      </c>
      <c r="D170" s="144">
        <v>673.92</v>
      </c>
      <c r="E170" s="105" t="s">
        <v>91</v>
      </c>
      <c r="F170" s="126"/>
      <c r="G170" s="119"/>
      <c r="H170" s="8"/>
      <c r="I170" s="8"/>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row>
    <row r="171" spans="1:114" s="46" customFormat="1" ht="24.75" customHeight="1">
      <c r="A171" s="260"/>
      <c r="B171" s="262"/>
      <c r="C171" s="128" t="s">
        <v>81</v>
      </c>
      <c r="D171" s="109">
        <v>1920.47</v>
      </c>
      <c r="E171" s="59" t="s">
        <v>92</v>
      </c>
      <c r="F171" s="126"/>
      <c r="G171" s="119"/>
      <c r="H171" s="8"/>
      <c r="I171" s="8"/>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row>
    <row r="172" spans="1:114" s="46" customFormat="1" ht="61.5" customHeight="1">
      <c r="A172" s="260"/>
      <c r="B172" s="262"/>
      <c r="C172" s="136" t="s">
        <v>93</v>
      </c>
      <c r="D172" s="131">
        <v>165000</v>
      </c>
      <c r="E172" s="135" t="s">
        <v>97</v>
      </c>
      <c r="F172" s="266"/>
      <c r="G172" s="268"/>
      <c r="H172" s="57"/>
      <c r="I172" s="14"/>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row>
    <row r="173" spans="1:114" s="46" customFormat="1" ht="69.75" customHeight="1">
      <c r="A173" s="260"/>
      <c r="B173" s="262"/>
      <c r="C173" s="128" t="s">
        <v>174</v>
      </c>
      <c r="D173" s="148">
        <f>26825+2729.6+1974.78+13772.35+19214.1</f>
        <v>64515.829999999994</v>
      </c>
      <c r="E173" s="105" t="s">
        <v>87</v>
      </c>
      <c r="F173" s="270"/>
      <c r="G173" s="271"/>
      <c r="H173" s="57"/>
      <c r="I173" s="14"/>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row>
    <row r="174" spans="1:114" s="46" customFormat="1" ht="22.5" customHeight="1">
      <c r="A174" s="260"/>
      <c r="B174" s="262"/>
      <c r="C174" s="156" t="s">
        <v>81</v>
      </c>
      <c r="D174" s="122">
        <v>960</v>
      </c>
      <c r="E174" s="105" t="s">
        <v>117</v>
      </c>
      <c r="F174" s="270"/>
      <c r="G174" s="271"/>
      <c r="H174" s="57"/>
      <c r="I174" s="14"/>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row>
    <row r="175" spans="1:114" s="46" customFormat="1" ht="27" customHeight="1">
      <c r="A175" s="260"/>
      <c r="B175" s="262"/>
      <c r="C175" s="165" t="s">
        <v>155</v>
      </c>
      <c r="D175" s="131">
        <v>40</v>
      </c>
      <c r="E175" s="105" t="s">
        <v>108</v>
      </c>
      <c r="F175" s="270"/>
      <c r="G175" s="271"/>
      <c r="H175" s="57"/>
      <c r="I175" s="14"/>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row>
    <row r="176" spans="1:114" s="46" customFormat="1" ht="20.25" customHeight="1">
      <c r="A176" s="255"/>
      <c r="B176" s="265"/>
      <c r="C176" s="156"/>
      <c r="D176" s="122"/>
      <c r="E176" s="109"/>
      <c r="F176" s="267"/>
      <c r="G176" s="269"/>
      <c r="H176" s="8"/>
      <c r="I176" s="8"/>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row>
    <row r="177" spans="1:114" s="46" customFormat="1" ht="21" customHeight="1">
      <c r="A177" s="153" t="s">
        <v>15</v>
      </c>
      <c r="B177" s="22">
        <f>SUM(B170)</f>
        <v>0</v>
      </c>
      <c r="C177" s="2"/>
      <c r="D177" s="23">
        <f>SUM(D170:D176)</f>
        <v>233110.22</v>
      </c>
      <c r="E177" s="103"/>
      <c r="F177" s="9">
        <f>F172</f>
        <v>0</v>
      </c>
      <c r="G177" s="41"/>
      <c r="H177" s="8">
        <f>SUM(H172:H176)</f>
        <v>0</v>
      </c>
      <c r="I177" s="8"/>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row>
    <row r="178" spans="1:114" s="46" customFormat="1" ht="56.25" customHeight="1">
      <c r="A178" s="254" t="s">
        <v>31</v>
      </c>
      <c r="B178" s="261"/>
      <c r="C178" s="156" t="s">
        <v>190</v>
      </c>
      <c r="D178" s="59">
        <f>50998.33+4772.4</f>
        <v>55770.73</v>
      </c>
      <c r="E178" s="105" t="s">
        <v>87</v>
      </c>
      <c r="F178" s="266"/>
      <c r="G178" s="268"/>
      <c r="H178" s="57"/>
      <c r="I178" s="14"/>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row>
    <row r="179" spans="1:114" s="46" customFormat="1" ht="18" customHeight="1">
      <c r="A179" s="255"/>
      <c r="B179" s="265"/>
      <c r="C179" s="168"/>
      <c r="D179" s="59"/>
      <c r="E179" s="122"/>
      <c r="F179" s="267"/>
      <c r="G179" s="269"/>
      <c r="H179" s="8"/>
      <c r="I179" s="8"/>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row>
    <row r="180" spans="1:114" s="46" customFormat="1" ht="18.75" customHeight="1">
      <c r="A180" s="153" t="s">
        <v>15</v>
      </c>
      <c r="B180" s="22">
        <f>B178</f>
        <v>0</v>
      </c>
      <c r="C180" s="2"/>
      <c r="D180" s="23">
        <f>SUM(D178:D179)</f>
        <v>55770.73</v>
      </c>
      <c r="E180" s="22"/>
      <c r="F180" s="9">
        <f>F178</f>
        <v>0</v>
      </c>
      <c r="G180" s="41"/>
      <c r="H180" s="8">
        <f>SUM(H178:H179)</f>
        <v>0</v>
      </c>
      <c r="I180" s="8"/>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row>
    <row r="181" spans="1:114" s="46" customFormat="1" ht="93.75" customHeight="1">
      <c r="A181" s="254" t="s">
        <v>41</v>
      </c>
      <c r="B181" s="261">
        <v>420</v>
      </c>
      <c r="C181" s="156" t="s">
        <v>189</v>
      </c>
      <c r="D181" s="59">
        <f>5046.66+1974.78+26717.11+9544.8</f>
        <v>43283.350000000006</v>
      </c>
      <c r="E181" s="105" t="s">
        <v>87</v>
      </c>
      <c r="F181" s="266"/>
      <c r="G181" s="268"/>
      <c r="H181" s="8"/>
      <c r="I181" s="8"/>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row>
    <row r="182" spans="1:114" s="46" customFormat="1" ht="56.25" customHeight="1">
      <c r="A182" s="260"/>
      <c r="B182" s="262"/>
      <c r="C182" s="128" t="s">
        <v>163</v>
      </c>
      <c r="D182" s="109">
        <f>6420+8100+370</f>
        <v>14890</v>
      </c>
      <c r="E182" s="105" t="s">
        <v>108</v>
      </c>
      <c r="F182" s="270"/>
      <c r="G182" s="271"/>
      <c r="H182" s="8"/>
      <c r="I182" s="8"/>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row>
    <row r="183" spans="1:114" s="46" customFormat="1" ht="19.5" customHeight="1">
      <c r="A183" s="260"/>
      <c r="B183" s="262"/>
      <c r="C183" s="165" t="s">
        <v>118</v>
      </c>
      <c r="D183" s="109"/>
      <c r="E183" s="122"/>
      <c r="F183" s="270"/>
      <c r="G183" s="271"/>
      <c r="H183" s="8"/>
      <c r="I183" s="8"/>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row>
    <row r="184" spans="1:114" s="46" customFormat="1" ht="15" customHeight="1">
      <c r="A184" s="255"/>
      <c r="B184" s="265"/>
      <c r="C184" s="152"/>
      <c r="D184" s="82"/>
      <c r="E184" s="78"/>
      <c r="F184" s="267"/>
      <c r="G184" s="269"/>
      <c r="H184" s="59"/>
      <c r="I184" s="96"/>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row>
    <row r="185" spans="1:114" s="46" customFormat="1" ht="23.25" customHeight="1">
      <c r="A185" s="153" t="s">
        <v>15</v>
      </c>
      <c r="B185" s="22">
        <f>B181</f>
        <v>420</v>
      </c>
      <c r="C185" s="2"/>
      <c r="D185" s="23">
        <f>SUM(D181:D184)</f>
        <v>58173.350000000006</v>
      </c>
      <c r="E185" s="103"/>
      <c r="F185" s="9">
        <f>F181</f>
        <v>0</v>
      </c>
      <c r="G185" s="41"/>
      <c r="H185" s="8">
        <f>SUM(H181:H184)</f>
        <v>0</v>
      </c>
      <c r="I185" s="8"/>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row>
    <row r="186" spans="1:114" s="46" customFormat="1" ht="38.25" customHeight="1">
      <c r="A186" s="258" t="s">
        <v>79</v>
      </c>
      <c r="B186" s="256"/>
      <c r="C186" s="21" t="s">
        <v>85</v>
      </c>
      <c r="D186" s="60">
        <v>413673.75</v>
      </c>
      <c r="E186" s="125" t="s">
        <v>86</v>
      </c>
      <c r="F186" s="9"/>
      <c r="G186" s="41"/>
      <c r="H186" s="8"/>
      <c r="I186" s="8"/>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row>
    <row r="187" spans="1:114" s="46" customFormat="1" ht="13.5" customHeight="1">
      <c r="A187" s="263"/>
      <c r="B187" s="264"/>
      <c r="C187" s="21"/>
      <c r="D187" s="60"/>
      <c r="E187" s="103"/>
      <c r="F187" s="9"/>
      <c r="G187" s="41"/>
      <c r="H187" s="8"/>
      <c r="I187" s="8"/>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row>
    <row r="188" spans="1:114" s="46" customFormat="1" ht="16.5" customHeight="1">
      <c r="A188" s="259"/>
      <c r="B188" s="257"/>
      <c r="C188" s="21"/>
      <c r="D188" s="60"/>
      <c r="E188" s="59"/>
      <c r="F188" s="12"/>
      <c r="G188" s="41"/>
      <c r="H188" s="5"/>
      <c r="I188" s="14"/>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row>
    <row r="189" spans="1:114" s="46" customFormat="1" ht="23.25" customHeight="1">
      <c r="A189" s="153" t="s">
        <v>15</v>
      </c>
      <c r="B189" s="22">
        <v>0</v>
      </c>
      <c r="C189" s="2"/>
      <c r="D189" s="23">
        <f>SUM(D186:D188)</f>
        <v>413673.75</v>
      </c>
      <c r="E189" s="22"/>
      <c r="F189" s="9">
        <v>0</v>
      </c>
      <c r="G189" s="41"/>
      <c r="H189" s="50">
        <f>SUM(H188)</f>
        <v>0</v>
      </c>
      <c r="I189" s="8"/>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row>
    <row r="190" spans="1:114" s="46" customFormat="1" ht="84" customHeight="1">
      <c r="A190" s="254" t="s">
        <v>47</v>
      </c>
      <c r="B190" s="261"/>
      <c r="C190" s="152" t="s">
        <v>179</v>
      </c>
      <c r="D190" s="82">
        <f>5046.66+50998.33+4984.56</f>
        <v>61029.55</v>
      </c>
      <c r="E190" s="105" t="s">
        <v>87</v>
      </c>
      <c r="F190" s="6"/>
      <c r="G190" s="41"/>
      <c r="H190" s="57"/>
      <c r="I190" s="14"/>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row>
    <row r="191" spans="1:114" s="46" customFormat="1" ht="31.5" customHeight="1">
      <c r="A191" s="260"/>
      <c r="B191" s="262"/>
      <c r="C191" s="152" t="s">
        <v>134</v>
      </c>
      <c r="D191" s="82">
        <v>4320</v>
      </c>
      <c r="E191" s="122" t="s">
        <v>117</v>
      </c>
      <c r="F191" s="6"/>
      <c r="G191" s="41"/>
      <c r="H191" s="57"/>
      <c r="I191" s="14"/>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row>
    <row r="192" spans="1:114" s="46" customFormat="1" ht="21" customHeight="1">
      <c r="A192" s="255"/>
      <c r="B192" s="265"/>
      <c r="C192" s="156"/>
      <c r="D192" s="82"/>
      <c r="E192" s="16"/>
      <c r="F192" s="6"/>
      <c r="G192" s="41"/>
      <c r="H192" s="57"/>
      <c r="I192" s="14"/>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row>
    <row r="193" spans="1:114" s="46" customFormat="1" ht="24.75" customHeight="1">
      <c r="A193" s="153" t="s">
        <v>15</v>
      </c>
      <c r="B193" s="22">
        <f>B190</f>
        <v>0</v>
      </c>
      <c r="C193" s="2"/>
      <c r="D193" s="23">
        <f>SUM(D190:D192)</f>
        <v>65349.55</v>
      </c>
      <c r="E193" s="22"/>
      <c r="F193" s="9"/>
      <c r="G193" s="41"/>
      <c r="H193" s="8">
        <f>H190</f>
        <v>0</v>
      </c>
      <c r="I193" s="8"/>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row>
    <row r="194" spans="1:114" s="46" customFormat="1" ht="24.75" customHeight="1">
      <c r="A194" s="254" t="s">
        <v>36</v>
      </c>
      <c r="B194" s="256"/>
      <c r="C194" s="21"/>
      <c r="D194" s="60"/>
      <c r="E194" s="122"/>
      <c r="F194" s="9"/>
      <c r="G194" s="41"/>
      <c r="H194" s="8"/>
      <c r="I194" s="8"/>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row>
    <row r="195" spans="1:114" s="46" customFormat="1" ht="15.75" customHeight="1">
      <c r="A195" s="255"/>
      <c r="B195" s="257"/>
      <c r="C195" s="152"/>
      <c r="D195" s="82"/>
      <c r="E195" s="16"/>
      <c r="F195" s="6"/>
      <c r="G195" s="41"/>
      <c r="H195" s="57"/>
      <c r="I195" s="14"/>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row>
    <row r="196" spans="1:114" s="46" customFormat="1" ht="20.25" customHeight="1">
      <c r="A196" s="153" t="s">
        <v>15</v>
      </c>
      <c r="B196" s="22">
        <f>B195</f>
        <v>0</v>
      </c>
      <c r="C196" s="2"/>
      <c r="D196" s="23">
        <f>SUM(D194:D195)</f>
        <v>0</v>
      </c>
      <c r="E196" s="22"/>
      <c r="F196" s="9"/>
      <c r="G196" s="41"/>
      <c r="H196" s="8">
        <f>H195</f>
        <v>0</v>
      </c>
      <c r="I196" s="8"/>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row>
    <row r="197" spans="1:114" s="46" customFormat="1" ht="80.25" customHeight="1">
      <c r="A197" s="254" t="s">
        <v>43</v>
      </c>
      <c r="B197" s="256"/>
      <c r="C197" s="152" t="s">
        <v>178</v>
      </c>
      <c r="D197" s="59">
        <f>50998.33+4984.56</f>
        <v>55982.89</v>
      </c>
      <c r="E197" s="105" t="s">
        <v>87</v>
      </c>
      <c r="F197" s="9"/>
      <c r="G197" s="41"/>
      <c r="H197" s="8"/>
      <c r="I197" s="8"/>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row>
    <row r="198" spans="1:114" s="46" customFormat="1" ht="30.75" customHeight="1">
      <c r="A198" s="255"/>
      <c r="B198" s="257"/>
      <c r="C198" s="152"/>
      <c r="D198" s="83"/>
      <c r="E198" s="16"/>
      <c r="F198" s="6"/>
      <c r="G198" s="41"/>
      <c r="H198" s="57"/>
      <c r="I198" s="14"/>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row>
    <row r="199" spans="1:114" s="46" customFormat="1" ht="23.25" customHeight="1">
      <c r="A199" s="153" t="s">
        <v>15</v>
      </c>
      <c r="B199" s="22">
        <f>B198</f>
        <v>0</v>
      </c>
      <c r="C199" s="2"/>
      <c r="D199" s="23">
        <f>SUM(D197:D198)</f>
        <v>55982.89</v>
      </c>
      <c r="E199" s="22"/>
      <c r="F199" s="9"/>
      <c r="G199" s="41"/>
      <c r="H199" s="8">
        <f>H198</f>
        <v>0</v>
      </c>
      <c r="I199" s="8"/>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row>
    <row r="200" spans="1:114" s="46" customFormat="1" ht="88.5" customHeight="1">
      <c r="A200" s="258" t="s">
        <v>52</v>
      </c>
      <c r="B200" s="256"/>
      <c r="C200" s="21" t="s">
        <v>179</v>
      </c>
      <c r="D200" s="60">
        <f>5046.66+50998.33+4984.56</f>
        <v>61029.55</v>
      </c>
      <c r="E200" s="105" t="s">
        <v>87</v>
      </c>
      <c r="F200" s="9"/>
      <c r="G200" s="41"/>
      <c r="H200" s="8"/>
      <c r="I200" s="8"/>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row>
    <row r="201" spans="1:114" s="46" customFormat="1" ht="28.5" customHeight="1">
      <c r="A201" s="259"/>
      <c r="B201" s="257"/>
      <c r="C201" s="21" t="s">
        <v>135</v>
      </c>
      <c r="D201" s="82">
        <v>4320</v>
      </c>
      <c r="E201" s="16" t="s">
        <v>117</v>
      </c>
      <c r="F201" s="9"/>
      <c r="G201" s="41"/>
      <c r="H201" s="57"/>
      <c r="I201" s="14"/>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row>
    <row r="202" spans="1:114" s="46" customFormat="1" ht="29.25" customHeight="1">
      <c r="A202" s="153" t="s">
        <v>15</v>
      </c>
      <c r="B202" s="22">
        <f>B201</f>
        <v>0</v>
      </c>
      <c r="C202" s="2"/>
      <c r="D202" s="23">
        <f>SUM(D200:D201)</f>
        <v>65349.55</v>
      </c>
      <c r="E202" s="22"/>
      <c r="F202" s="9"/>
      <c r="G202" s="41"/>
      <c r="H202" s="8">
        <f>H201</f>
        <v>0</v>
      </c>
      <c r="I202" s="8"/>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row>
    <row r="203" spans="1:114" s="46" customFormat="1" ht="39.75" customHeight="1">
      <c r="A203" s="78" t="s">
        <v>50</v>
      </c>
      <c r="B203" s="59"/>
      <c r="C203" s="21" t="s">
        <v>96</v>
      </c>
      <c r="D203" s="148">
        <v>85840</v>
      </c>
      <c r="E203" s="105" t="s">
        <v>87</v>
      </c>
      <c r="F203" s="6"/>
      <c r="G203" s="41"/>
      <c r="H203" s="57"/>
      <c r="I203" s="14"/>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row>
    <row r="204" spans="1:114" s="46" customFormat="1" ht="24.75" customHeight="1">
      <c r="A204" s="153" t="s">
        <v>15</v>
      </c>
      <c r="B204" s="22">
        <f>SUM(B203)</f>
        <v>0</v>
      </c>
      <c r="C204" s="2"/>
      <c r="D204" s="23">
        <f>D203</f>
        <v>85840</v>
      </c>
      <c r="E204" s="22"/>
      <c r="F204" s="9"/>
      <c r="G204" s="41"/>
      <c r="H204" s="8">
        <f>H203</f>
        <v>0</v>
      </c>
      <c r="I204" s="8"/>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row>
    <row r="205" spans="1:114" s="46" customFormat="1" ht="51.75" customHeight="1">
      <c r="A205" s="254" t="s">
        <v>42</v>
      </c>
      <c r="B205" s="256"/>
      <c r="C205" s="21" t="s">
        <v>166</v>
      </c>
      <c r="D205" s="60">
        <f>5178.96+50998.33</f>
        <v>56177.29</v>
      </c>
      <c r="E205" s="105" t="s">
        <v>87</v>
      </c>
      <c r="F205" s="9"/>
      <c r="G205" s="41"/>
      <c r="H205" s="8"/>
      <c r="I205" s="8"/>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row>
    <row r="206" spans="1:114" s="46" customFormat="1" ht="27.75" customHeight="1">
      <c r="A206" s="255"/>
      <c r="B206" s="257"/>
      <c r="C206" s="152" t="s">
        <v>122</v>
      </c>
      <c r="D206" s="82">
        <v>980</v>
      </c>
      <c r="E206" s="16" t="s">
        <v>108</v>
      </c>
      <c r="F206" s="6"/>
      <c r="G206" s="41"/>
      <c r="H206" s="57"/>
      <c r="I206" s="14"/>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row>
    <row r="207" spans="1:114" s="46" customFormat="1" ht="23.25" customHeight="1">
      <c r="A207" s="153" t="s">
        <v>15</v>
      </c>
      <c r="B207" s="22">
        <f>SUM(B205)</f>
        <v>0</v>
      </c>
      <c r="C207" s="2"/>
      <c r="D207" s="23">
        <f>SUM(D205:D206)</f>
        <v>57157.29</v>
      </c>
      <c r="E207" s="22"/>
      <c r="F207" s="9"/>
      <c r="G207" s="41"/>
      <c r="H207" s="8">
        <f>H206</f>
        <v>0</v>
      </c>
      <c r="I207" s="8"/>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row>
    <row r="208" spans="1:114" s="46" customFormat="1" ht="31.5">
      <c r="A208" s="254" t="s">
        <v>48</v>
      </c>
      <c r="B208" s="261"/>
      <c r="C208" s="152" t="s">
        <v>164</v>
      </c>
      <c r="D208" s="59">
        <v>50998.33</v>
      </c>
      <c r="E208" s="105" t="s">
        <v>87</v>
      </c>
      <c r="F208" s="6"/>
      <c r="G208" s="41"/>
      <c r="H208" s="57"/>
      <c r="I208" s="14"/>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row>
    <row r="209" spans="1:114" s="46" customFormat="1" ht="19.5" customHeight="1">
      <c r="A209" s="260"/>
      <c r="B209" s="262"/>
      <c r="C209" s="116"/>
      <c r="D209" s="59"/>
      <c r="E209" s="74"/>
      <c r="F209" s="6"/>
      <c r="G209" s="41"/>
      <c r="H209" s="8"/>
      <c r="I209" s="8"/>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row>
    <row r="210" spans="1:114" s="46" customFormat="1" ht="24" customHeight="1">
      <c r="A210" s="169" t="s">
        <v>15</v>
      </c>
      <c r="B210" s="22">
        <f>B208</f>
        <v>0</v>
      </c>
      <c r="C210" s="116"/>
      <c r="D210" s="22">
        <f>D208+D209</f>
        <v>50998.33</v>
      </c>
      <c r="E210" s="85"/>
      <c r="F210" s="6"/>
      <c r="G210" s="41"/>
      <c r="H210" s="8">
        <f>H208+H209</f>
        <v>0</v>
      </c>
      <c r="I210" s="8"/>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row>
    <row r="211" spans="1:114" s="46" customFormat="1" ht="39" customHeight="1">
      <c r="A211" s="78" t="s">
        <v>51</v>
      </c>
      <c r="B211" s="59"/>
      <c r="C211" s="152"/>
      <c r="D211" s="82"/>
      <c r="E211" s="16"/>
      <c r="F211" s="6"/>
      <c r="G211" s="41"/>
      <c r="H211" s="5"/>
      <c r="I211" s="14"/>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row>
    <row r="212" spans="1:114" s="46" customFormat="1" ht="24.75" customHeight="1" thickBot="1">
      <c r="A212" s="153" t="s">
        <v>15</v>
      </c>
      <c r="B212" s="39">
        <f>B211</f>
        <v>0</v>
      </c>
      <c r="C212" s="2"/>
      <c r="D212" s="89">
        <f>D211</f>
        <v>0</v>
      </c>
      <c r="E212" s="22"/>
      <c r="F212" s="9"/>
      <c r="G212" s="41"/>
      <c r="H212" s="50">
        <f>H211</f>
        <v>0</v>
      </c>
      <c r="I212" s="8"/>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row>
    <row r="213" spans="1:114" s="67" customFormat="1" ht="60.75" customHeight="1" thickBot="1">
      <c r="A213" s="163" t="s">
        <v>57</v>
      </c>
      <c r="B213" s="22">
        <f>SUM(B202+B69+B72+B81+B85+B88+B92+B101+B117+B120+B127+B137+B143+B210+B147+B150+B153+B158+B165+B169+B177+B180+B185+B193+B196+B199+B204+B207+B212)</f>
        <v>7217.01</v>
      </c>
      <c r="C213" s="22"/>
      <c r="D213" s="101">
        <f>SUM(D202+D69+D72+D81+D85+D210+D88+D92+D101+D117+D120+D127+D137+D143+D147+D150+D153+D158+D165+D169+D177+D180+D185+D193+D196+D199+D204+D207+D212+D189)</f>
        <v>5597908.019999999</v>
      </c>
      <c r="E213" s="22">
        <f>SUM(E202+E69+E72+E81+E85+E210+E88+E92+E101+E117+E120+E127+E137+E143+E147+E150+E153+E158+E165+E169+E177+E180+E185+E193+E196+E199+E204+E207+E212)</f>
        <v>0</v>
      </c>
      <c r="F213" s="22">
        <f>SUM(F202+F69+F72+F81+F85+F210+F88+F92+F101+F117+F120+F127+F137+F143+F147+F150+F153+F158+F165+F169+F177+F180+F185+F193+F196+F199+F204+F207+F212)</f>
        <v>0</v>
      </c>
      <c r="G213" s="22">
        <f>SUM(G202+G69+G72+G81+G85+G210+G88+G92+G101+G117+G120+G127+G137+G143+G147+G150+G153+G158+G165+G169+G177+G180+G185+G193+G196+G199+G204+G207+G212)</f>
        <v>0</v>
      </c>
      <c r="H213" s="22">
        <f>SUM(H202+H69+H72+H81+H85+H210+H88+H92+H101+H117+H120+H127+H137+H143+H147+H150+H153+H158+H165+H169+H177+H180+H185+H193+H196+H199+H204+H207+H212)+H189</f>
        <v>0</v>
      </c>
      <c r="I213" s="22">
        <f>SUM(I202+I69+I72+I81+I85+I210+I88+I92+I101+I117+I120+I127+I137+I143+I147+I150+I153+I158+I165+I169+I177+I180+I185+I193+I196+I199+I204+I207+I212)</f>
        <v>0</v>
      </c>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c r="BI213" s="66"/>
      <c r="BJ213" s="66"/>
      <c r="BK213" s="66"/>
      <c r="BL213" s="66"/>
      <c r="BM213" s="66"/>
      <c r="BN213" s="66"/>
      <c r="BO213" s="66"/>
      <c r="BP213" s="66"/>
      <c r="BQ213" s="66"/>
      <c r="BR213" s="66"/>
      <c r="BS213" s="66"/>
      <c r="BT213" s="66"/>
      <c r="BU213" s="66"/>
      <c r="BV213" s="66"/>
      <c r="BW213" s="66"/>
      <c r="BX213" s="66"/>
      <c r="BY213" s="66"/>
      <c r="BZ213" s="66"/>
      <c r="CA213" s="66"/>
      <c r="CB213" s="66"/>
      <c r="CC213" s="66"/>
      <c r="CD213" s="66"/>
      <c r="CE213" s="66"/>
      <c r="CF213" s="66"/>
      <c r="CG213" s="66"/>
      <c r="CH213" s="66"/>
      <c r="CI213" s="66"/>
      <c r="CJ213" s="66"/>
      <c r="CK213" s="66"/>
      <c r="CL213" s="66"/>
      <c r="CM213" s="66"/>
      <c r="CN213" s="66"/>
      <c r="CO213" s="66"/>
      <c r="CP213" s="66"/>
      <c r="CQ213" s="66"/>
      <c r="CR213" s="66"/>
      <c r="CS213" s="66"/>
      <c r="CT213" s="66"/>
      <c r="CU213" s="66"/>
      <c r="CV213" s="66"/>
      <c r="CW213" s="66"/>
      <c r="CX213" s="66"/>
      <c r="CY213" s="66"/>
      <c r="CZ213" s="66"/>
      <c r="DA213" s="66"/>
      <c r="DB213" s="66"/>
      <c r="DC213" s="66"/>
      <c r="DD213" s="66"/>
      <c r="DE213" s="66"/>
      <c r="DF213" s="66"/>
      <c r="DG213" s="66"/>
      <c r="DH213" s="66"/>
      <c r="DI213" s="66"/>
      <c r="DJ213" s="66"/>
    </row>
    <row r="214" spans="1:114" s="67" customFormat="1" ht="79.5" customHeight="1" thickBot="1">
      <c r="A214" s="153" t="s">
        <v>58</v>
      </c>
      <c r="B214" s="23">
        <f>SUM(B73+B213)</f>
        <v>65911.01</v>
      </c>
      <c r="C214" s="23"/>
      <c r="D214" s="23">
        <f aca="true" t="shared" si="0" ref="D214:I214">SUM(D73+D213)</f>
        <v>6165943.539999999</v>
      </c>
      <c r="E214" s="23">
        <f t="shared" si="0"/>
        <v>0</v>
      </c>
      <c r="F214" s="23">
        <f t="shared" si="0"/>
        <v>0</v>
      </c>
      <c r="G214" s="23">
        <f t="shared" si="0"/>
        <v>0</v>
      </c>
      <c r="H214" s="23">
        <f t="shared" si="0"/>
        <v>0</v>
      </c>
      <c r="I214" s="23">
        <f t="shared" si="0"/>
        <v>0</v>
      </c>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c r="BI214" s="66"/>
      <c r="BJ214" s="66"/>
      <c r="BK214" s="66"/>
      <c r="BL214" s="66"/>
      <c r="BM214" s="66"/>
      <c r="BN214" s="66"/>
      <c r="BO214" s="66"/>
      <c r="BP214" s="66"/>
      <c r="BQ214" s="66"/>
      <c r="BR214" s="66"/>
      <c r="BS214" s="66"/>
      <c r="BT214" s="66"/>
      <c r="BU214" s="66"/>
      <c r="BV214" s="66"/>
      <c r="BW214" s="66"/>
      <c r="BX214" s="66"/>
      <c r="BY214" s="66"/>
      <c r="BZ214" s="66"/>
      <c r="CA214" s="66"/>
      <c r="CB214" s="66"/>
      <c r="CC214" s="66"/>
      <c r="CD214" s="66"/>
      <c r="CE214" s="66"/>
      <c r="CF214" s="66"/>
      <c r="CG214" s="66"/>
      <c r="CH214" s="66"/>
      <c r="CI214" s="66"/>
      <c r="CJ214" s="66"/>
      <c r="CK214" s="66"/>
      <c r="CL214" s="66"/>
      <c r="CM214" s="66"/>
      <c r="CN214" s="66"/>
      <c r="CO214" s="66"/>
      <c r="CP214" s="66"/>
      <c r="CQ214" s="66"/>
      <c r="CR214" s="66"/>
      <c r="CS214" s="66"/>
      <c r="CT214" s="66"/>
      <c r="CU214" s="66"/>
      <c r="CV214" s="66"/>
      <c r="CW214" s="66"/>
      <c r="CX214" s="66"/>
      <c r="CY214" s="66"/>
      <c r="CZ214" s="66"/>
      <c r="DA214" s="66"/>
      <c r="DB214" s="66"/>
      <c r="DC214" s="66"/>
      <c r="DD214" s="66"/>
      <c r="DE214" s="66"/>
      <c r="DF214" s="66"/>
      <c r="DG214" s="66"/>
      <c r="DH214" s="66"/>
      <c r="DI214" s="66"/>
      <c r="DJ214" s="66"/>
    </row>
    <row r="215" spans="1:114" s="70" customFormat="1" ht="9.75" customHeight="1" hidden="1">
      <c r="A215" s="68"/>
      <c r="B215" s="68"/>
      <c r="C215" s="68"/>
      <c r="D215" s="90"/>
      <c r="E215" s="71"/>
      <c r="F215" s="69"/>
      <c r="G215" s="69"/>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row>
    <row r="216" spans="1:114" s="70" customFormat="1" ht="34.5" customHeight="1">
      <c r="A216" s="71" t="s">
        <v>59</v>
      </c>
      <c r="B216" s="71"/>
      <c r="C216" s="71"/>
      <c r="D216" s="90"/>
      <c r="E216" s="71" t="s">
        <v>24</v>
      </c>
      <c r="F216" s="69"/>
      <c r="G216" s="25" t="s">
        <v>61</v>
      </c>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c r="CO216" s="34"/>
      <c r="CP216" s="34"/>
      <c r="CQ216" s="34"/>
      <c r="CR216" s="34"/>
      <c r="CS216" s="34"/>
      <c r="CT216" s="34"/>
      <c r="CU216" s="34"/>
      <c r="CV216" s="34"/>
      <c r="CW216" s="34"/>
      <c r="CX216" s="34"/>
      <c r="CY216" s="34"/>
      <c r="CZ216" s="34"/>
      <c r="DA216" s="34"/>
      <c r="DB216" s="34"/>
      <c r="DC216" s="34"/>
      <c r="DD216" s="34"/>
      <c r="DE216" s="34"/>
      <c r="DF216" s="34"/>
      <c r="DG216" s="34"/>
      <c r="DH216" s="34"/>
      <c r="DI216" s="34"/>
      <c r="DJ216" s="34"/>
    </row>
    <row r="217" spans="1:9" ht="20.25" customHeight="1">
      <c r="A217" s="68" t="s">
        <v>25</v>
      </c>
      <c r="B217" s="68"/>
      <c r="C217" s="26"/>
      <c r="D217" s="91"/>
      <c r="E217" s="95"/>
      <c r="F217" s="24"/>
      <c r="G217" s="24" t="s">
        <v>84</v>
      </c>
      <c r="H217" s="13"/>
      <c r="I217" s="13"/>
    </row>
    <row r="218" spans="1:10" ht="26.25" customHeight="1">
      <c r="A218" s="26" t="s">
        <v>62</v>
      </c>
      <c r="B218" s="26"/>
      <c r="C218" s="26"/>
      <c r="D218" s="90"/>
      <c r="E218" s="93"/>
      <c r="F218" s="72"/>
      <c r="G218" s="72"/>
      <c r="H218" s="13"/>
      <c r="I218" s="47"/>
      <c r="J218" s="13" t="s">
        <v>60</v>
      </c>
    </row>
    <row r="219" spans="1:9" ht="20.25" customHeight="1">
      <c r="A219" s="26"/>
      <c r="B219" s="26"/>
      <c r="C219" s="26"/>
      <c r="D219" s="90"/>
      <c r="E219" s="93"/>
      <c r="F219" s="72"/>
      <c r="G219" s="72"/>
      <c r="H219" s="13"/>
      <c r="I219" s="13"/>
    </row>
    <row r="220" spans="1:9" ht="12" customHeight="1">
      <c r="A220" s="27"/>
      <c r="B220" s="27"/>
      <c r="C220" s="27"/>
      <c r="D220" s="92"/>
      <c r="E220" s="27"/>
      <c r="F220" s="13"/>
      <c r="G220" s="13"/>
      <c r="H220" s="13"/>
      <c r="I220" s="13"/>
    </row>
    <row r="221" spans="1:9" ht="15.75">
      <c r="A221" s="27"/>
      <c r="B221" s="27"/>
      <c r="C221" s="27"/>
      <c r="D221" s="92"/>
      <c r="E221" s="27"/>
      <c r="F221" s="13"/>
      <c r="G221" s="13"/>
      <c r="H221" s="13"/>
      <c r="I221" s="13"/>
    </row>
    <row r="222" spans="1:9" ht="15.75">
      <c r="A222" s="27"/>
      <c r="B222" s="27"/>
      <c r="C222" s="27"/>
      <c r="D222" s="92"/>
      <c r="E222" s="27"/>
      <c r="F222" s="13"/>
      <c r="G222" s="13"/>
      <c r="H222" s="13"/>
      <c r="I222" s="13"/>
    </row>
  </sheetData>
  <sheetProtection/>
  <mergeCells count="143">
    <mergeCell ref="A200:A201"/>
    <mergeCell ref="B200:B201"/>
    <mergeCell ref="A205:A206"/>
    <mergeCell ref="B205:B206"/>
    <mergeCell ref="A208:A209"/>
    <mergeCell ref="B208:B209"/>
    <mergeCell ref="A190:A192"/>
    <mergeCell ref="B190:B192"/>
    <mergeCell ref="A194:A195"/>
    <mergeCell ref="B194:B195"/>
    <mergeCell ref="A197:A198"/>
    <mergeCell ref="B197:B198"/>
    <mergeCell ref="A181:A184"/>
    <mergeCell ref="B181:B184"/>
    <mergeCell ref="F181:F184"/>
    <mergeCell ref="G181:G184"/>
    <mergeCell ref="A186:A188"/>
    <mergeCell ref="B186:B188"/>
    <mergeCell ref="A170:A176"/>
    <mergeCell ref="B170:B176"/>
    <mergeCell ref="F172:F176"/>
    <mergeCell ref="G172:G176"/>
    <mergeCell ref="A178:A179"/>
    <mergeCell ref="B178:B179"/>
    <mergeCell ref="F178:F179"/>
    <mergeCell ref="G178:G179"/>
    <mergeCell ref="A159:A164"/>
    <mergeCell ref="B159:B164"/>
    <mergeCell ref="F162:F164"/>
    <mergeCell ref="G162:G164"/>
    <mergeCell ref="A166:A168"/>
    <mergeCell ref="B166:B168"/>
    <mergeCell ref="C166:C167"/>
    <mergeCell ref="F166:F168"/>
    <mergeCell ref="G166:G168"/>
    <mergeCell ref="A151:A152"/>
    <mergeCell ref="B151:B152"/>
    <mergeCell ref="F151:F152"/>
    <mergeCell ref="G151:G152"/>
    <mergeCell ref="A154:A157"/>
    <mergeCell ref="B154:B157"/>
    <mergeCell ref="F154:F157"/>
    <mergeCell ref="G154:G157"/>
    <mergeCell ref="A144:A146"/>
    <mergeCell ref="B144:B146"/>
    <mergeCell ref="F144:F146"/>
    <mergeCell ref="G144:G146"/>
    <mergeCell ref="A148:A149"/>
    <mergeCell ref="B148:B149"/>
    <mergeCell ref="A128:A136"/>
    <mergeCell ref="B128:B136"/>
    <mergeCell ref="F128:F136"/>
    <mergeCell ref="G128:G136"/>
    <mergeCell ref="A138:A142"/>
    <mergeCell ref="B138:B142"/>
    <mergeCell ref="F138:F142"/>
    <mergeCell ref="G138:G142"/>
    <mergeCell ref="A118:A119"/>
    <mergeCell ref="B118:B119"/>
    <mergeCell ref="F118:F119"/>
    <mergeCell ref="G118:G119"/>
    <mergeCell ref="A121:A126"/>
    <mergeCell ref="B121:B126"/>
    <mergeCell ref="F121:F126"/>
    <mergeCell ref="G121:G126"/>
    <mergeCell ref="A93:A100"/>
    <mergeCell ref="B93:B100"/>
    <mergeCell ref="F96:F100"/>
    <mergeCell ref="G96:G100"/>
    <mergeCell ref="A112:A116"/>
    <mergeCell ref="B112:B116"/>
    <mergeCell ref="F115:F116"/>
    <mergeCell ref="G115:G116"/>
    <mergeCell ref="A86:A87"/>
    <mergeCell ref="B86:B87"/>
    <mergeCell ref="F86:F87"/>
    <mergeCell ref="G86:G87"/>
    <mergeCell ref="A89:A91"/>
    <mergeCell ref="B89:B91"/>
    <mergeCell ref="F89:F91"/>
    <mergeCell ref="G89:G91"/>
    <mergeCell ref="A74:A80"/>
    <mergeCell ref="B74:B80"/>
    <mergeCell ref="A82:A84"/>
    <mergeCell ref="B82:B84"/>
    <mergeCell ref="F82:F84"/>
    <mergeCell ref="G82:G84"/>
    <mergeCell ref="C61:C62"/>
    <mergeCell ref="A64:A65"/>
    <mergeCell ref="B64:B65"/>
    <mergeCell ref="A67:A68"/>
    <mergeCell ref="B67:B68"/>
    <mergeCell ref="A70:A71"/>
    <mergeCell ref="B70:B71"/>
    <mergeCell ref="A55:A56"/>
    <mergeCell ref="B55:B56"/>
    <mergeCell ref="A58:A59"/>
    <mergeCell ref="B58:B59"/>
    <mergeCell ref="A61:A62"/>
    <mergeCell ref="B61:B62"/>
    <mergeCell ref="C42:C43"/>
    <mergeCell ref="A45:A46"/>
    <mergeCell ref="B45:B46"/>
    <mergeCell ref="A48:A50"/>
    <mergeCell ref="B48:B50"/>
    <mergeCell ref="A52:A53"/>
    <mergeCell ref="B52:B53"/>
    <mergeCell ref="C52:C53"/>
    <mergeCell ref="A35:A36"/>
    <mergeCell ref="B35:B36"/>
    <mergeCell ref="A38:A40"/>
    <mergeCell ref="B38:B40"/>
    <mergeCell ref="A42:A43"/>
    <mergeCell ref="B42:B43"/>
    <mergeCell ref="F28:F29"/>
    <mergeCell ref="G28:G29"/>
    <mergeCell ref="H28:H29"/>
    <mergeCell ref="I28:I29"/>
    <mergeCell ref="A32:A33"/>
    <mergeCell ref="B32:B33"/>
    <mergeCell ref="A22:A23"/>
    <mergeCell ref="B22:B23"/>
    <mergeCell ref="A25:A26"/>
    <mergeCell ref="B25:B26"/>
    <mergeCell ref="A28:A30"/>
    <mergeCell ref="B28:B30"/>
    <mergeCell ref="H9:I10"/>
    <mergeCell ref="A12:A13"/>
    <mergeCell ref="B12:B13"/>
    <mergeCell ref="A15:A17"/>
    <mergeCell ref="B15:B17"/>
    <mergeCell ref="A19:A21"/>
    <mergeCell ref="B19:B20"/>
    <mergeCell ref="G4:I4"/>
    <mergeCell ref="A5:I5"/>
    <mergeCell ref="A6:I6"/>
    <mergeCell ref="A7:I7"/>
    <mergeCell ref="A8:A11"/>
    <mergeCell ref="B8:E8"/>
    <mergeCell ref="F8:I8"/>
    <mergeCell ref="B9:C10"/>
    <mergeCell ref="D9:E10"/>
    <mergeCell ref="F9:G10"/>
  </mergeCells>
  <printOptions/>
  <pageMargins left="0.5118110236220472" right="0.5118110236220472" top="0.35433070866141736" bottom="0.35433070866141736" header="0.31496062992125984" footer="0.31496062992125984"/>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DJ231"/>
  <sheetViews>
    <sheetView zoomScale="90" zoomScaleNormal="90" zoomScalePageLayoutView="0" workbookViewId="0" topLeftCell="A8">
      <pane xSplit="1" ySplit="4" topLeftCell="B211" activePane="bottomRight" state="frozen"/>
      <selection pane="topLeft" activeCell="A8" sqref="A8"/>
      <selection pane="topRight" activeCell="B8" sqref="B8"/>
      <selection pane="bottomLeft" activeCell="A12" sqref="A12"/>
      <selection pane="bottomRight" activeCell="A8" sqref="A1:IV16384"/>
    </sheetView>
  </sheetViews>
  <sheetFormatPr defaultColWidth="25.7109375" defaultRowHeight="15"/>
  <cols>
    <col min="1" max="1" width="14.28125" style="28" customWidth="1"/>
    <col min="2" max="2" width="10.28125" style="28" customWidth="1"/>
    <col min="3" max="3" width="39.00390625" style="28" customWidth="1"/>
    <col min="4" max="4" width="11.57421875" style="73" customWidth="1"/>
    <col min="5" max="5" width="19.140625" style="28" customWidth="1"/>
    <col min="6" max="6" width="7.421875" style="1" customWidth="1"/>
    <col min="7" max="7" width="7.28125" style="1" customWidth="1"/>
    <col min="8" max="8" width="9.28125" style="1" customWidth="1"/>
    <col min="9" max="9" width="9.140625" style="1" customWidth="1"/>
    <col min="10" max="114" width="25.7109375" style="13" customWidth="1"/>
    <col min="115" max="16384" width="25.7109375" style="1" customWidth="1"/>
  </cols>
  <sheetData>
    <row r="1" spans="3:9" ht="18" customHeight="1">
      <c r="C1" s="28" t="s">
        <v>24</v>
      </c>
      <c r="F1" s="29" t="s">
        <v>49</v>
      </c>
      <c r="I1" s="29"/>
    </row>
    <row r="2" spans="6:9" ht="18" customHeight="1">
      <c r="F2" s="29" t="s">
        <v>45</v>
      </c>
      <c r="I2" s="29"/>
    </row>
    <row r="3" spans="6:9" ht="16.5" customHeight="1">
      <c r="F3" s="29" t="s">
        <v>46</v>
      </c>
      <c r="I3" s="29"/>
    </row>
    <row r="4" spans="7:9" ht="15.75">
      <c r="G4" s="297"/>
      <c r="H4" s="297"/>
      <c r="I4" s="297"/>
    </row>
    <row r="5" spans="1:9" ht="15.75">
      <c r="A5" s="298" t="s">
        <v>19</v>
      </c>
      <c r="B5" s="298"/>
      <c r="C5" s="298"/>
      <c r="D5" s="298"/>
      <c r="E5" s="298"/>
      <c r="F5" s="298"/>
      <c r="G5" s="298"/>
      <c r="H5" s="298"/>
      <c r="I5" s="298"/>
    </row>
    <row r="6" spans="1:9" ht="15.75">
      <c r="A6" s="298" t="s">
        <v>191</v>
      </c>
      <c r="B6" s="298"/>
      <c r="C6" s="298"/>
      <c r="D6" s="298"/>
      <c r="E6" s="298"/>
      <c r="F6" s="298"/>
      <c r="G6" s="298"/>
      <c r="H6" s="298"/>
      <c r="I6" s="298"/>
    </row>
    <row r="7" spans="1:9" ht="26.25" customHeight="1">
      <c r="A7" s="298" t="s">
        <v>20</v>
      </c>
      <c r="B7" s="298"/>
      <c r="C7" s="298"/>
      <c r="D7" s="298"/>
      <c r="E7" s="298"/>
      <c r="F7" s="298"/>
      <c r="G7" s="298"/>
      <c r="H7" s="298"/>
      <c r="I7" s="298"/>
    </row>
    <row r="8" spans="1:10" ht="30" customHeight="1">
      <c r="A8" s="299" t="s">
        <v>21</v>
      </c>
      <c r="B8" s="294" t="s">
        <v>0</v>
      </c>
      <c r="C8" s="294"/>
      <c r="D8" s="294"/>
      <c r="E8" s="294"/>
      <c r="F8" s="294" t="s">
        <v>1</v>
      </c>
      <c r="G8" s="294"/>
      <c r="H8" s="294"/>
      <c r="I8" s="294"/>
      <c r="J8" s="36"/>
    </row>
    <row r="9" spans="1:10" ht="13.5" customHeight="1">
      <c r="A9" s="299"/>
      <c r="B9" s="299" t="s">
        <v>2</v>
      </c>
      <c r="C9" s="299"/>
      <c r="D9" s="299" t="s">
        <v>18</v>
      </c>
      <c r="E9" s="299"/>
      <c r="F9" s="294" t="s">
        <v>2</v>
      </c>
      <c r="G9" s="294"/>
      <c r="H9" s="294" t="s">
        <v>3</v>
      </c>
      <c r="I9" s="295"/>
      <c r="J9" s="36"/>
    </row>
    <row r="10" spans="1:10" ht="22.5" customHeight="1">
      <c r="A10" s="299"/>
      <c r="B10" s="299"/>
      <c r="C10" s="299"/>
      <c r="D10" s="299"/>
      <c r="E10" s="299"/>
      <c r="F10" s="294"/>
      <c r="G10" s="294"/>
      <c r="H10" s="295"/>
      <c r="I10" s="295"/>
      <c r="J10" s="36"/>
    </row>
    <row r="11" spans="1:10" ht="51" customHeight="1">
      <c r="A11" s="299"/>
      <c r="B11" s="16" t="s">
        <v>17</v>
      </c>
      <c r="C11" s="16" t="s">
        <v>4</v>
      </c>
      <c r="D11" s="16" t="s">
        <v>17</v>
      </c>
      <c r="E11" s="16" t="s">
        <v>5</v>
      </c>
      <c r="F11" s="14" t="s">
        <v>17</v>
      </c>
      <c r="G11" s="14" t="s">
        <v>4</v>
      </c>
      <c r="H11" s="14" t="s">
        <v>17</v>
      </c>
      <c r="I11" s="14" t="s">
        <v>6</v>
      </c>
      <c r="J11" s="36"/>
    </row>
    <row r="12" spans="1:10" ht="80.25" customHeight="1">
      <c r="A12" s="277" t="s">
        <v>63</v>
      </c>
      <c r="B12" s="296"/>
      <c r="C12" s="152" t="s">
        <v>178</v>
      </c>
      <c r="D12" s="59">
        <f>50998.33+9969.12</f>
        <v>60967.450000000004</v>
      </c>
      <c r="E12" s="105" t="s">
        <v>87</v>
      </c>
      <c r="F12" s="37"/>
      <c r="G12" s="32"/>
      <c r="H12" s="38"/>
      <c r="I12" s="15"/>
      <c r="J12" s="36"/>
    </row>
    <row r="13" spans="1:10" ht="38.25" customHeight="1">
      <c r="A13" s="277"/>
      <c r="B13" s="296"/>
      <c r="C13" s="149" t="s">
        <v>176</v>
      </c>
      <c r="D13" s="60">
        <f>1460+3740+384</f>
        <v>5584</v>
      </c>
      <c r="E13" s="105" t="s">
        <v>175</v>
      </c>
      <c r="F13" s="37"/>
      <c r="G13" s="32"/>
      <c r="H13" s="38"/>
      <c r="I13" s="30"/>
      <c r="J13" s="36"/>
    </row>
    <row r="14" spans="1:114" s="46" customFormat="1" ht="20.25" customHeight="1">
      <c r="A14" s="153" t="s">
        <v>14</v>
      </c>
      <c r="B14" s="39">
        <f>SUM(B12:B13)</f>
        <v>0</v>
      </c>
      <c r="C14" s="2"/>
      <c r="D14" s="75">
        <f>D13+D12</f>
        <v>66551.45000000001</v>
      </c>
      <c r="E14" s="76"/>
      <c r="F14" s="40"/>
      <c r="G14" s="41"/>
      <c r="H14" s="42">
        <f>SUM(H12:H13)</f>
        <v>0</v>
      </c>
      <c r="I14" s="31"/>
      <c r="J14" s="43"/>
      <c r="K14" s="44"/>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row>
    <row r="15" spans="1:11" ht="85.5" customHeight="1">
      <c r="A15" s="277" t="s">
        <v>64</v>
      </c>
      <c r="B15" s="278">
        <v>10924</v>
      </c>
      <c r="C15" s="152" t="s">
        <v>178</v>
      </c>
      <c r="D15" s="60">
        <f>50998.33+4984.56</f>
        <v>55982.89</v>
      </c>
      <c r="E15" s="105" t="s">
        <v>87</v>
      </c>
      <c r="F15" s="37"/>
      <c r="G15" s="32"/>
      <c r="H15" s="30"/>
      <c r="I15" s="15"/>
      <c r="J15" s="36"/>
      <c r="K15" s="47"/>
    </row>
    <row r="16" spans="1:11" ht="49.5" customHeight="1">
      <c r="A16" s="277"/>
      <c r="B16" s="279"/>
      <c r="C16" s="116" t="s">
        <v>177</v>
      </c>
      <c r="D16" s="60"/>
      <c r="E16" s="105"/>
      <c r="F16" s="37"/>
      <c r="G16" s="32"/>
      <c r="H16" s="30"/>
      <c r="I16" s="15"/>
      <c r="J16" s="36"/>
      <c r="K16" s="47"/>
    </row>
    <row r="17" spans="1:11" ht="37.5" customHeight="1">
      <c r="A17" s="277"/>
      <c r="B17" s="280"/>
      <c r="C17" s="149" t="s">
        <v>176</v>
      </c>
      <c r="D17" s="60">
        <f>1733.75+4080+432</f>
        <v>6245.75</v>
      </c>
      <c r="E17" s="105" t="s">
        <v>175</v>
      </c>
      <c r="F17" s="37"/>
      <c r="G17" s="32"/>
      <c r="H17" s="30"/>
      <c r="I17" s="30"/>
      <c r="J17" s="36"/>
      <c r="K17" s="47"/>
    </row>
    <row r="18" spans="1:114" s="46" customFormat="1" ht="22.5" customHeight="1">
      <c r="A18" s="153" t="s">
        <v>14</v>
      </c>
      <c r="B18" s="39">
        <f>SUM(B15)</f>
        <v>10924</v>
      </c>
      <c r="C18" s="152"/>
      <c r="D18" s="64">
        <f>D17+D15</f>
        <v>62228.64</v>
      </c>
      <c r="E18" s="76"/>
      <c r="F18" s="40"/>
      <c r="G18" s="41"/>
      <c r="H18" s="31">
        <f>SUM(H15:H17)</f>
        <v>0</v>
      </c>
      <c r="I18" s="31"/>
      <c r="J18" s="43"/>
      <c r="K18" s="44"/>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row>
    <row r="19" spans="1:114" s="46" customFormat="1" ht="31.5" customHeight="1">
      <c r="A19" s="277" t="s">
        <v>65</v>
      </c>
      <c r="B19" s="278"/>
      <c r="C19" s="152" t="s">
        <v>197</v>
      </c>
      <c r="D19" s="16">
        <v>33070.22</v>
      </c>
      <c r="E19" s="105"/>
      <c r="F19" s="40"/>
      <c r="G19" s="41"/>
      <c r="H19" s="30"/>
      <c r="I19" s="15"/>
      <c r="J19" s="43"/>
      <c r="K19" s="44"/>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row>
    <row r="20" spans="1:114" s="46" customFormat="1" ht="18.75" customHeight="1">
      <c r="A20" s="277"/>
      <c r="B20" s="280"/>
      <c r="C20" s="155"/>
      <c r="D20" s="16"/>
      <c r="E20" s="59"/>
      <c r="F20" s="40"/>
      <c r="G20" s="41"/>
      <c r="H20" s="30"/>
      <c r="I20" s="15"/>
      <c r="J20" s="43"/>
      <c r="K20" s="4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row>
    <row r="21" spans="1:114" s="46" customFormat="1" ht="20.25" customHeight="1">
      <c r="A21" s="277"/>
      <c r="B21" s="39">
        <f>SUM(B19)</f>
        <v>0</v>
      </c>
      <c r="C21" s="116"/>
      <c r="D21" s="77">
        <f>SUM(D19:D20)</f>
        <v>33070.22</v>
      </c>
      <c r="E21" s="76"/>
      <c r="F21" s="48">
        <f>F19</f>
        <v>0</v>
      </c>
      <c r="G21" s="41"/>
      <c r="H21" s="31">
        <f>SUM(H19:H19)</f>
        <v>0</v>
      </c>
      <c r="I21" s="31"/>
      <c r="J21" s="43"/>
      <c r="K21" s="44"/>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row>
    <row r="22" spans="1:11" ht="28.5" customHeight="1">
      <c r="A22" s="254" t="s">
        <v>66</v>
      </c>
      <c r="B22" s="278"/>
      <c r="C22" s="156"/>
      <c r="D22" s="16"/>
      <c r="E22" s="74"/>
      <c r="F22" s="37"/>
      <c r="G22" s="32"/>
      <c r="H22" s="30"/>
      <c r="I22" s="15"/>
      <c r="J22" s="36"/>
      <c r="K22" s="47"/>
    </row>
    <row r="23" spans="1:11" ht="18.75" customHeight="1">
      <c r="A23" s="255"/>
      <c r="B23" s="280"/>
      <c r="C23" s="157"/>
      <c r="D23" s="143"/>
      <c r="E23" s="122"/>
      <c r="F23" s="37"/>
      <c r="G23" s="32"/>
      <c r="H23" s="30"/>
      <c r="I23" s="30"/>
      <c r="J23" s="36"/>
      <c r="K23" s="47"/>
    </row>
    <row r="24" spans="1:114" s="46" customFormat="1" ht="25.5" customHeight="1">
      <c r="A24" s="153" t="s">
        <v>15</v>
      </c>
      <c r="B24" s="39">
        <f>B22</f>
        <v>0</v>
      </c>
      <c r="C24" s="2"/>
      <c r="D24" s="79">
        <f>D23+D22</f>
        <v>0</v>
      </c>
      <c r="E24" s="80"/>
      <c r="F24" s="40"/>
      <c r="G24" s="41"/>
      <c r="H24" s="31">
        <f>SUM(H22:H23)</f>
        <v>0</v>
      </c>
      <c r="I24" s="31"/>
      <c r="J24" s="43"/>
      <c r="K24" s="44"/>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row>
    <row r="25" spans="1:114" s="46" customFormat="1" ht="84.75" customHeight="1">
      <c r="A25" s="254" t="s">
        <v>67</v>
      </c>
      <c r="B25" s="278"/>
      <c r="C25" s="152" t="s">
        <v>178</v>
      </c>
      <c r="D25" s="59">
        <f>50998.33+14953.68</f>
        <v>65952.01000000001</v>
      </c>
      <c r="E25" s="105" t="s">
        <v>87</v>
      </c>
      <c r="F25" s="40"/>
      <c r="G25" s="41"/>
      <c r="H25" s="30"/>
      <c r="I25" s="15"/>
      <c r="J25" s="43"/>
      <c r="K25" s="44"/>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row>
    <row r="26" spans="1:11" ht="38.25" customHeight="1">
      <c r="A26" s="255"/>
      <c r="B26" s="280"/>
      <c r="C26" s="149" t="s">
        <v>176</v>
      </c>
      <c r="D26" s="60">
        <f>1898+3740+432</f>
        <v>6070</v>
      </c>
      <c r="E26" s="105" t="s">
        <v>175</v>
      </c>
      <c r="F26" s="37"/>
      <c r="G26" s="32"/>
      <c r="H26" s="38"/>
      <c r="I26" s="32"/>
      <c r="J26" s="36"/>
      <c r="K26" s="47"/>
    </row>
    <row r="27" spans="1:114" s="46" customFormat="1" ht="19.5" customHeight="1">
      <c r="A27" s="153" t="s">
        <v>15</v>
      </c>
      <c r="B27" s="39">
        <f>B25</f>
        <v>0</v>
      </c>
      <c r="C27" s="152"/>
      <c r="D27" s="79">
        <f>SUM(D25:D26)</f>
        <v>72022.01000000001</v>
      </c>
      <c r="E27" s="80"/>
      <c r="F27" s="40"/>
      <c r="G27" s="41"/>
      <c r="H27" s="42">
        <f>SUM(H25:H26)</f>
        <v>0</v>
      </c>
      <c r="I27" s="31"/>
      <c r="J27" s="43"/>
      <c r="K27" s="44"/>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row>
    <row r="28" spans="1:114" s="46" customFormat="1" ht="86.25" customHeight="1">
      <c r="A28" s="254" t="s">
        <v>68</v>
      </c>
      <c r="B28" s="278"/>
      <c r="C28" s="152" t="s">
        <v>178</v>
      </c>
      <c r="D28" s="59">
        <f>50998.33+24922.8</f>
        <v>75921.13</v>
      </c>
      <c r="E28" s="105" t="s">
        <v>87</v>
      </c>
      <c r="F28" s="292"/>
      <c r="G28" s="293"/>
      <c r="H28" s="294"/>
      <c r="I28" s="294"/>
      <c r="J28" s="43"/>
      <c r="K28" s="4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row>
    <row r="29" spans="1:114" s="46" customFormat="1" ht="39.75" customHeight="1">
      <c r="A29" s="260"/>
      <c r="B29" s="279"/>
      <c r="C29" s="149" t="s">
        <v>176</v>
      </c>
      <c r="D29" s="60">
        <f>1952.75+5100+432</f>
        <v>7484.75</v>
      </c>
      <c r="E29" s="105" t="s">
        <v>175</v>
      </c>
      <c r="F29" s="292"/>
      <c r="G29" s="293"/>
      <c r="H29" s="294"/>
      <c r="I29" s="294"/>
      <c r="J29" s="43"/>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row>
    <row r="30" spans="1:114" s="46" customFormat="1" ht="21" customHeight="1">
      <c r="A30" s="255"/>
      <c r="B30" s="280"/>
      <c r="C30" s="158"/>
      <c r="D30" s="60"/>
      <c r="E30" s="59"/>
      <c r="F30" s="6"/>
      <c r="G30" s="41"/>
      <c r="H30" s="33"/>
      <c r="I30" s="33"/>
      <c r="J30" s="43"/>
      <c r="K30" s="44"/>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row>
    <row r="31" spans="1:114" s="46" customFormat="1" ht="22.5" customHeight="1">
      <c r="A31" s="153" t="s">
        <v>15</v>
      </c>
      <c r="B31" s="39">
        <f>SUM(B28:B29)</f>
        <v>0</v>
      </c>
      <c r="C31" s="159"/>
      <c r="D31" s="79">
        <f>SUM(D28:D30)</f>
        <v>83405.88</v>
      </c>
      <c r="E31" s="80"/>
      <c r="F31" s="50"/>
      <c r="G31" s="41"/>
      <c r="H31" s="33">
        <f>SUM(H28:H30)</f>
        <v>0</v>
      </c>
      <c r="I31" s="33"/>
      <c r="J31" s="43"/>
      <c r="K31" s="44"/>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row>
    <row r="32" spans="1:11" ht="21.75" customHeight="1">
      <c r="A32" s="254" t="s">
        <v>69</v>
      </c>
      <c r="B32" s="278"/>
      <c r="C32" s="152"/>
      <c r="D32" s="16"/>
      <c r="E32" s="81"/>
      <c r="F32" s="6"/>
      <c r="G32" s="32"/>
      <c r="H32" s="14"/>
      <c r="I32" s="14"/>
      <c r="J32" s="36"/>
      <c r="K32" s="47"/>
    </row>
    <row r="33" spans="1:11" ht="27.75" customHeight="1">
      <c r="A33" s="255"/>
      <c r="B33" s="280"/>
      <c r="C33" s="116"/>
      <c r="D33" s="16"/>
      <c r="E33" s="59"/>
      <c r="F33" s="6"/>
      <c r="G33" s="32"/>
      <c r="H33" s="14"/>
      <c r="I33" s="14"/>
      <c r="J33" s="36"/>
      <c r="K33" s="47"/>
    </row>
    <row r="34" spans="1:114" s="46" customFormat="1" ht="24" customHeight="1">
      <c r="A34" s="160" t="s">
        <v>15</v>
      </c>
      <c r="B34" s="39">
        <f>SUM(B32)</f>
        <v>0</v>
      </c>
      <c r="C34" s="159"/>
      <c r="D34" s="75">
        <f>D33+D32</f>
        <v>0</v>
      </c>
      <c r="E34" s="139"/>
      <c r="F34" s="10"/>
      <c r="G34" s="41"/>
      <c r="H34" s="33">
        <f>SUM(H32:H33)</f>
        <v>0</v>
      </c>
      <c r="I34" s="33"/>
      <c r="J34" s="43"/>
      <c r="K34" s="4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row>
    <row r="35" spans="1:114" s="46" customFormat="1" ht="33" customHeight="1">
      <c r="A35" s="254" t="s">
        <v>70</v>
      </c>
      <c r="B35" s="278"/>
      <c r="C35" s="152" t="s">
        <v>164</v>
      </c>
      <c r="D35" s="60">
        <v>50998.33</v>
      </c>
      <c r="E35" s="105" t="s">
        <v>87</v>
      </c>
      <c r="F35" s="10"/>
      <c r="G35" s="41"/>
      <c r="H35" s="33"/>
      <c r="I35" s="33"/>
      <c r="J35" s="43"/>
      <c r="K35" s="44"/>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row>
    <row r="36" spans="1:10" ht="18.75" customHeight="1">
      <c r="A36" s="255"/>
      <c r="B36" s="280"/>
      <c r="C36" s="152"/>
      <c r="D36" s="60"/>
      <c r="E36" s="107"/>
      <c r="F36" s="51"/>
      <c r="G36" s="32"/>
      <c r="H36" s="14"/>
      <c r="I36" s="14"/>
      <c r="J36" s="36"/>
    </row>
    <row r="37" spans="1:114" s="46" customFormat="1" ht="27.75" customHeight="1">
      <c r="A37" s="153" t="s">
        <v>15</v>
      </c>
      <c r="B37" s="39">
        <f>SUM(B35:B36)</f>
        <v>0</v>
      </c>
      <c r="C37" s="2"/>
      <c r="D37" s="23">
        <f>SUM(D35:D36)</f>
        <v>50998.33</v>
      </c>
      <c r="E37" s="82"/>
      <c r="F37" s="50"/>
      <c r="G37" s="41"/>
      <c r="H37" s="33">
        <f>SUM(H36:H36)</f>
        <v>0</v>
      </c>
      <c r="I37" s="33"/>
      <c r="J37" s="43"/>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row>
    <row r="38" spans="1:10" ht="90" customHeight="1">
      <c r="A38" s="254" t="s">
        <v>71</v>
      </c>
      <c r="B38" s="278"/>
      <c r="C38" s="152" t="s">
        <v>178</v>
      </c>
      <c r="D38" s="60">
        <f>50998.33+24922.8</f>
        <v>75921.13</v>
      </c>
      <c r="E38" s="125" t="s">
        <v>87</v>
      </c>
      <c r="F38" s="51"/>
      <c r="G38" s="32"/>
      <c r="H38" s="14"/>
      <c r="I38" s="14"/>
      <c r="J38" s="36"/>
    </row>
    <row r="39" spans="1:10" ht="15.75" customHeight="1">
      <c r="A39" s="260"/>
      <c r="B39" s="279"/>
      <c r="C39" s="152"/>
      <c r="D39" s="103"/>
      <c r="E39" s="113"/>
      <c r="F39" s="51"/>
      <c r="G39" s="32"/>
      <c r="H39" s="14"/>
      <c r="I39" s="14"/>
      <c r="J39" s="36"/>
    </row>
    <row r="40" spans="1:10" ht="41.25" customHeight="1">
      <c r="A40" s="255"/>
      <c r="B40" s="280"/>
      <c r="C40" s="149" t="s">
        <v>176</v>
      </c>
      <c r="D40" s="60">
        <f>1952.75+5100+432</f>
        <v>7484.75</v>
      </c>
      <c r="E40" s="105" t="s">
        <v>175</v>
      </c>
      <c r="F40" s="51"/>
      <c r="G40" s="32"/>
      <c r="H40" s="14"/>
      <c r="I40" s="14"/>
      <c r="J40" s="36"/>
    </row>
    <row r="41" spans="1:114" s="46" customFormat="1" ht="27" customHeight="1">
      <c r="A41" s="153" t="s">
        <v>15</v>
      </c>
      <c r="B41" s="39">
        <f>SUM(B38:B39)</f>
        <v>0</v>
      </c>
      <c r="C41" s="116"/>
      <c r="D41" s="23">
        <f>SUM(D38:D40)</f>
        <v>83405.88</v>
      </c>
      <c r="E41" s="82"/>
      <c r="F41" s="50"/>
      <c r="G41" s="41"/>
      <c r="H41" s="33">
        <f>H38</f>
        <v>0</v>
      </c>
      <c r="I41" s="33"/>
      <c r="J41" s="43"/>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row>
    <row r="42" spans="1:114" s="46" customFormat="1" ht="21" customHeight="1">
      <c r="A42" s="254" t="s">
        <v>7</v>
      </c>
      <c r="B42" s="278"/>
      <c r="C42" s="251"/>
      <c r="D42" s="60"/>
      <c r="E42" s="16"/>
      <c r="F42" s="50"/>
      <c r="G42" s="41"/>
      <c r="H42" s="14"/>
      <c r="I42" s="14"/>
      <c r="J42" s="43"/>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row>
    <row r="43" spans="1:10" ht="18" customHeight="1">
      <c r="A43" s="255"/>
      <c r="B43" s="280"/>
      <c r="C43" s="253"/>
      <c r="D43" s="16"/>
      <c r="E43" s="59"/>
      <c r="F43" s="6"/>
      <c r="G43" s="32"/>
      <c r="H43" s="14"/>
      <c r="I43" s="14"/>
      <c r="J43" s="36"/>
    </row>
    <row r="44" spans="1:114" s="46" customFormat="1" ht="23.25" customHeight="1">
      <c r="A44" s="153" t="s">
        <v>15</v>
      </c>
      <c r="B44" s="39">
        <f>SUM(B42)</f>
        <v>0</v>
      </c>
      <c r="C44" s="152"/>
      <c r="D44" s="22">
        <f>D43+D42</f>
        <v>0</v>
      </c>
      <c r="E44" s="60"/>
      <c r="F44" s="50"/>
      <c r="G44" s="41"/>
      <c r="H44" s="33">
        <f>SUM(H42:H43)</f>
        <v>0</v>
      </c>
      <c r="I44" s="33"/>
      <c r="J44" s="43"/>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row>
    <row r="45" spans="1:114" s="46" customFormat="1" ht="26.25" customHeight="1">
      <c r="A45" s="254" t="s">
        <v>16</v>
      </c>
      <c r="B45" s="278"/>
      <c r="C45" s="159"/>
      <c r="D45" s="16"/>
      <c r="E45" s="16"/>
      <c r="F45" s="50"/>
      <c r="G45" s="41"/>
      <c r="H45" s="14"/>
      <c r="I45" s="14"/>
      <c r="J45" s="43"/>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row>
    <row r="46" spans="1:10" ht="16.5" customHeight="1">
      <c r="A46" s="255"/>
      <c r="B46" s="280"/>
      <c r="C46" s="159"/>
      <c r="D46" s="78"/>
      <c r="E46" s="59"/>
      <c r="F46" s="6"/>
      <c r="G46" s="32"/>
      <c r="H46" s="14"/>
      <c r="I46" s="14"/>
      <c r="J46" s="36"/>
    </row>
    <row r="47" spans="1:114" s="46" customFormat="1" ht="27.75" customHeight="1">
      <c r="A47" s="153" t="s">
        <v>15</v>
      </c>
      <c r="B47" s="39">
        <f>SUM(B45:B45)</f>
        <v>0</v>
      </c>
      <c r="C47" s="161"/>
      <c r="D47" s="23">
        <f>D46+D45</f>
        <v>0</v>
      </c>
      <c r="E47" s="82"/>
      <c r="F47" s="50"/>
      <c r="G47" s="41"/>
      <c r="H47" s="33">
        <f>SUM(H45:H46)</f>
        <v>0</v>
      </c>
      <c r="I47" s="33"/>
      <c r="J47" s="43"/>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row>
    <row r="48" spans="1:114" s="46" customFormat="1" ht="153" customHeight="1">
      <c r="A48" s="254" t="s">
        <v>8</v>
      </c>
      <c r="B48" s="278">
        <f>20400+19370</f>
        <v>39770</v>
      </c>
      <c r="C48" s="162" t="s">
        <v>114</v>
      </c>
      <c r="D48" s="60"/>
      <c r="E48" s="59"/>
      <c r="F48" s="50"/>
      <c r="G48" s="41"/>
      <c r="H48" s="33"/>
      <c r="I48" s="33"/>
      <c r="J48" s="43"/>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row>
    <row r="49" spans="1:114" s="46" customFormat="1" ht="87" customHeight="1">
      <c r="A49" s="260"/>
      <c r="B49" s="279"/>
      <c r="C49" s="152" t="s">
        <v>178</v>
      </c>
      <c r="D49" s="59">
        <f>50998.33+19938.24</f>
        <v>70936.57</v>
      </c>
      <c r="E49" s="105" t="s">
        <v>87</v>
      </c>
      <c r="F49" s="50"/>
      <c r="G49" s="41"/>
      <c r="H49" s="33"/>
      <c r="I49" s="33"/>
      <c r="J49" s="43"/>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row>
    <row r="50" spans="1:10" ht="36.75" customHeight="1">
      <c r="A50" s="255"/>
      <c r="B50" s="280"/>
      <c r="C50" s="149" t="s">
        <v>176</v>
      </c>
      <c r="D50" s="60">
        <f>1825+4080+384</f>
        <v>6289</v>
      </c>
      <c r="E50" s="105" t="s">
        <v>175</v>
      </c>
      <c r="F50" s="5"/>
      <c r="G50" s="32"/>
      <c r="H50" s="14"/>
      <c r="I50" s="14"/>
      <c r="J50" s="36"/>
    </row>
    <row r="51" spans="1:114" s="46" customFormat="1" ht="31.5" customHeight="1">
      <c r="A51" s="153" t="s">
        <v>15</v>
      </c>
      <c r="B51" s="39">
        <f>SUM(B48)</f>
        <v>39770</v>
      </c>
      <c r="C51" s="152"/>
      <c r="D51" s="22">
        <f>SUM(D48:D50)</f>
        <v>77225.57</v>
      </c>
      <c r="E51" s="82"/>
      <c r="F51" s="50"/>
      <c r="G51" s="41"/>
      <c r="H51" s="33">
        <f>SUM(H49:H50)</f>
        <v>0</v>
      </c>
      <c r="I51" s="33"/>
      <c r="J51" s="43"/>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row>
    <row r="52" spans="1:114" s="46" customFormat="1" ht="15" customHeight="1">
      <c r="A52" s="254" t="s">
        <v>9</v>
      </c>
      <c r="B52" s="278">
        <v>8000</v>
      </c>
      <c r="C52" s="251" t="s">
        <v>115</v>
      </c>
      <c r="D52" s="59"/>
      <c r="E52" s="74"/>
      <c r="F52" s="50"/>
      <c r="G52" s="41"/>
      <c r="H52" s="33"/>
      <c r="I52" s="33"/>
      <c r="J52" s="43"/>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row>
    <row r="53" spans="1:10" ht="32.25" customHeight="1">
      <c r="A53" s="255"/>
      <c r="B53" s="280"/>
      <c r="C53" s="253"/>
      <c r="D53" s="16"/>
      <c r="E53" s="16"/>
      <c r="F53" s="5"/>
      <c r="G53" s="32"/>
      <c r="H53" s="12"/>
      <c r="I53" s="14"/>
      <c r="J53" s="36"/>
    </row>
    <row r="54" spans="1:114" s="46" customFormat="1" ht="19.5" customHeight="1">
      <c r="A54" s="153" t="s">
        <v>15</v>
      </c>
      <c r="B54" s="39">
        <f>B52</f>
        <v>8000</v>
      </c>
      <c r="C54" s="159"/>
      <c r="D54" s="22">
        <f>D53+D52</f>
        <v>0</v>
      </c>
      <c r="E54" s="82"/>
      <c r="F54" s="50">
        <f>F53</f>
        <v>0</v>
      </c>
      <c r="G54" s="41"/>
      <c r="H54" s="33">
        <f>SUM(H52:H53)</f>
        <v>0</v>
      </c>
      <c r="I54" s="33"/>
      <c r="J54" s="43"/>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row>
    <row r="55" spans="1:114" s="46" customFormat="1" ht="32.25" customHeight="1">
      <c r="A55" s="254" t="s">
        <v>10</v>
      </c>
      <c r="B55" s="278"/>
      <c r="C55" s="152"/>
      <c r="D55" s="59"/>
      <c r="E55" s="74"/>
      <c r="F55" s="50"/>
      <c r="G55" s="41"/>
      <c r="H55" s="33"/>
      <c r="I55" s="33"/>
      <c r="J55" s="43"/>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row>
    <row r="56" spans="1:10" ht="23.25" customHeight="1">
      <c r="A56" s="255"/>
      <c r="B56" s="280"/>
      <c r="C56" s="116"/>
      <c r="D56" s="16"/>
      <c r="E56" s="59"/>
      <c r="F56" s="5"/>
      <c r="G56" s="32"/>
      <c r="H56" s="14"/>
      <c r="I56" s="14"/>
      <c r="J56" s="36"/>
    </row>
    <row r="57" spans="1:114" s="46" customFormat="1" ht="21.75" customHeight="1">
      <c r="A57" s="153" t="s">
        <v>15</v>
      </c>
      <c r="B57" s="39">
        <f>SUM(B55:B55)</f>
        <v>0</v>
      </c>
      <c r="C57" s="152"/>
      <c r="D57" s="22">
        <f>D56+D55</f>
        <v>0</v>
      </c>
      <c r="E57" s="60"/>
      <c r="F57" s="50"/>
      <c r="G57" s="41"/>
      <c r="H57" s="33">
        <f>SUM(H55:H56)</f>
        <v>0</v>
      </c>
      <c r="I57" s="33"/>
      <c r="J57" s="43"/>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row>
    <row r="58" spans="1:114" s="46" customFormat="1" ht="24" customHeight="1">
      <c r="A58" s="254" t="s">
        <v>11</v>
      </c>
      <c r="B58" s="278"/>
      <c r="C58" s="152"/>
      <c r="D58" s="59"/>
      <c r="E58" s="74"/>
      <c r="F58" s="5"/>
      <c r="G58" s="32"/>
      <c r="H58" s="14"/>
      <c r="I58" s="14"/>
      <c r="J58" s="43"/>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row>
    <row r="59" spans="1:10" ht="23.25" customHeight="1">
      <c r="A59" s="255"/>
      <c r="B59" s="280"/>
      <c r="C59" s="116"/>
      <c r="D59" s="16"/>
      <c r="E59" s="59"/>
      <c r="F59" s="5"/>
      <c r="G59" s="32"/>
      <c r="H59" s="14"/>
      <c r="I59" s="14"/>
      <c r="J59" s="36"/>
    </row>
    <row r="60" spans="1:114" s="46" customFormat="1" ht="23.25" customHeight="1">
      <c r="A60" s="153" t="s">
        <v>15</v>
      </c>
      <c r="B60" s="52">
        <f>SUM(B58:B58)</f>
        <v>0</v>
      </c>
      <c r="C60" s="116"/>
      <c r="D60" s="22">
        <f>D59+D58</f>
        <v>0</v>
      </c>
      <c r="E60" s="60"/>
      <c r="F60" s="50">
        <f>F59+F58</f>
        <v>0</v>
      </c>
      <c r="G60" s="41"/>
      <c r="H60" s="33">
        <f>SUM(H58:H59)</f>
        <v>0</v>
      </c>
      <c r="I60" s="33"/>
      <c r="J60" s="43"/>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row>
    <row r="61" spans="1:114" s="46" customFormat="1" ht="13.5" customHeight="1">
      <c r="A61" s="254" t="s">
        <v>12</v>
      </c>
      <c r="B61" s="278"/>
      <c r="C61" s="251"/>
      <c r="D61" s="59"/>
      <c r="E61" s="74"/>
      <c r="F61" s="50"/>
      <c r="G61" s="41"/>
      <c r="H61" s="33"/>
      <c r="I61" s="33"/>
      <c r="J61" s="43"/>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row>
    <row r="62" spans="1:10" ht="18" customHeight="1">
      <c r="A62" s="255"/>
      <c r="B62" s="280"/>
      <c r="C62" s="253"/>
      <c r="D62" s="16"/>
      <c r="E62" s="16"/>
      <c r="F62" s="5"/>
      <c r="G62" s="32"/>
      <c r="H62" s="14"/>
      <c r="I62" s="14"/>
      <c r="J62" s="36"/>
    </row>
    <row r="63" spans="1:114" s="46" customFormat="1" ht="24.75" customHeight="1">
      <c r="A63" s="153" t="s">
        <v>15</v>
      </c>
      <c r="B63" s="39">
        <f>SUM(B61:B61)</f>
        <v>0</v>
      </c>
      <c r="C63" s="116"/>
      <c r="D63" s="22">
        <f>D62+D61</f>
        <v>0</v>
      </c>
      <c r="E63" s="82"/>
      <c r="F63" s="50"/>
      <c r="G63" s="41"/>
      <c r="H63" s="33">
        <f>SUM(H61:H62)</f>
        <v>0</v>
      </c>
      <c r="I63" s="33"/>
      <c r="J63" s="43"/>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row>
    <row r="64" spans="1:114" s="46" customFormat="1" ht="83.25" customHeight="1">
      <c r="A64" s="254" t="s">
        <v>13</v>
      </c>
      <c r="B64" s="278"/>
      <c r="C64" s="152" t="s">
        <v>178</v>
      </c>
      <c r="D64" s="59">
        <f>50998.33+14953.68</f>
        <v>65952.01000000001</v>
      </c>
      <c r="E64" s="105" t="s">
        <v>87</v>
      </c>
      <c r="F64" s="50"/>
      <c r="G64" s="41"/>
      <c r="H64" s="14"/>
      <c r="I64" s="14"/>
      <c r="J64" s="43"/>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row>
    <row r="65" spans="1:10" ht="37.5" customHeight="1">
      <c r="A65" s="255"/>
      <c r="B65" s="280"/>
      <c r="C65" s="149" t="s">
        <v>176</v>
      </c>
      <c r="D65" s="60">
        <f>1733.75+4080+432</f>
        <v>6245.75</v>
      </c>
      <c r="E65" s="105" t="s">
        <v>175</v>
      </c>
      <c r="F65" s="5"/>
      <c r="G65" s="32"/>
      <c r="H65" s="14"/>
      <c r="I65" s="14"/>
      <c r="J65" s="36"/>
    </row>
    <row r="66" spans="1:10" ht="21.75" customHeight="1">
      <c r="A66" s="153" t="s">
        <v>15</v>
      </c>
      <c r="B66" s="39">
        <f>SUM(B64:B64)</f>
        <v>0</v>
      </c>
      <c r="C66" s="116"/>
      <c r="D66" s="22">
        <f>D65+D64</f>
        <v>72197.76000000001</v>
      </c>
      <c r="E66" s="82"/>
      <c r="F66" s="50">
        <f>F65</f>
        <v>0</v>
      </c>
      <c r="G66" s="32"/>
      <c r="H66" s="33">
        <f>SUM(H64:H65)</f>
        <v>0</v>
      </c>
      <c r="I66" s="14"/>
      <c r="J66" s="36"/>
    </row>
    <row r="67" spans="1:10" s="56" customFormat="1" ht="24" customHeight="1">
      <c r="A67" s="258" t="s">
        <v>83</v>
      </c>
      <c r="B67" s="278"/>
      <c r="C67" s="152"/>
      <c r="D67" s="49"/>
      <c r="E67" s="74"/>
      <c r="F67" s="54"/>
      <c r="G67" s="4"/>
      <c r="H67" s="10"/>
      <c r="I67" s="11"/>
      <c r="J67" s="55"/>
    </row>
    <row r="68" spans="1:10" ht="24.75" customHeight="1">
      <c r="A68" s="259"/>
      <c r="B68" s="280"/>
      <c r="C68" s="116"/>
      <c r="D68" s="16"/>
      <c r="E68" s="59"/>
      <c r="F68" s="5"/>
      <c r="G68" s="32"/>
      <c r="H68" s="14"/>
      <c r="I68" s="14"/>
      <c r="J68" s="43"/>
    </row>
    <row r="69" spans="1:114" s="46" customFormat="1" ht="18" customHeight="1">
      <c r="A69" s="153" t="s">
        <v>15</v>
      </c>
      <c r="B69" s="39">
        <f>SUM(B67:B67)</f>
        <v>0</v>
      </c>
      <c r="C69" s="116"/>
      <c r="D69" s="22">
        <f>D68+D67</f>
        <v>0</v>
      </c>
      <c r="E69" s="23"/>
      <c r="F69" s="50">
        <f>F68</f>
        <v>0</v>
      </c>
      <c r="G69" s="41"/>
      <c r="H69" s="9">
        <f>SUM(H67:H68)</f>
        <v>0</v>
      </c>
      <c r="I69" s="33"/>
      <c r="J69" s="43"/>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row>
    <row r="70" spans="1:114" s="46" customFormat="1" ht="21" customHeight="1">
      <c r="A70" s="258" t="s">
        <v>82</v>
      </c>
      <c r="B70" s="278"/>
      <c r="C70" s="152"/>
      <c r="D70" s="16"/>
      <c r="E70" s="16"/>
      <c r="F70" s="50"/>
      <c r="G70" s="41"/>
      <c r="H70" s="14"/>
      <c r="I70" s="14"/>
      <c r="J70" s="43"/>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row>
    <row r="71" spans="1:10" ht="26.25" customHeight="1">
      <c r="A71" s="259"/>
      <c r="B71" s="280"/>
      <c r="C71" s="116"/>
      <c r="D71" s="59"/>
      <c r="E71" s="59"/>
      <c r="F71" s="5"/>
      <c r="G71" s="32"/>
      <c r="H71" s="33"/>
      <c r="I71" s="33"/>
      <c r="J71" s="43"/>
    </row>
    <row r="72" spans="1:114" s="46" customFormat="1" ht="30.75" customHeight="1">
      <c r="A72" s="153" t="s">
        <v>15</v>
      </c>
      <c r="B72" s="39">
        <f>SUM(B70:B70)</f>
        <v>0</v>
      </c>
      <c r="C72" s="116"/>
      <c r="D72" s="22">
        <f>D71+D70</f>
        <v>0</v>
      </c>
      <c r="E72" s="23"/>
      <c r="F72" s="50">
        <f>F71</f>
        <v>0</v>
      </c>
      <c r="G72" s="41"/>
      <c r="H72" s="33">
        <f>SUM(H70:H71)</f>
        <v>0</v>
      </c>
      <c r="I72" s="33"/>
      <c r="J72" s="43"/>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row>
    <row r="73" spans="1:114" s="46" customFormat="1" ht="30.75" customHeight="1">
      <c r="A73" s="163" t="s">
        <v>44</v>
      </c>
      <c r="B73" s="22">
        <f>B72+B69+B66+B63+B60+B57+B54+B51+B47+B44+B41+B37+B34+B31+B27+B24+B21+B18+B14</f>
        <v>58694</v>
      </c>
      <c r="C73" s="3"/>
      <c r="D73" s="22">
        <f>D72+D69+D66+D63+D60+D57+D54+D51+D47+D44+D41+D37+D34+D31+D27+D24+D21+D18+D14</f>
        <v>601105.74</v>
      </c>
      <c r="E73" s="23"/>
      <c r="F73" s="22">
        <f>F72+F69+F66+F63+F60+F57+F54+F51+F47+F44+F41+F37+F34+F31+F27+F24+F21+F18+F14</f>
        <v>0</v>
      </c>
      <c r="G73" s="4"/>
      <c r="H73" s="22">
        <f>H72+H69+H66+H63+H60+H57+H54+H51+H47+H44+H41+H37+H34+H31+H27+H24+H21+H18+H14</f>
        <v>0</v>
      </c>
      <c r="I73" s="120"/>
      <c r="J73" s="43"/>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row>
    <row r="74" spans="1:114" s="46" customFormat="1" ht="173.25" customHeight="1">
      <c r="A74" s="254" t="s">
        <v>72</v>
      </c>
      <c r="B74" s="278"/>
      <c r="C74" s="156" t="s">
        <v>180</v>
      </c>
      <c r="D74" s="122">
        <f>22321.38+32190+7776.26+1974.78+38565.36+13772.35+79120+35853+6808+9544.8</f>
        <v>247925.93</v>
      </c>
      <c r="E74" s="105" t="s">
        <v>87</v>
      </c>
      <c r="F74" s="118"/>
      <c r="G74" s="119"/>
      <c r="H74" s="33"/>
      <c r="I74" s="120"/>
      <c r="J74" s="43"/>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row>
    <row r="75" spans="1:114" s="46" customFormat="1" ht="124.5" customHeight="1">
      <c r="A75" s="260"/>
      <c r="B75" s="279"/>
      <c r="C75" s="156" t="s">
        <v>90</v>
      </c>
      <c r="D75" s="122">
        <v>151722</v>
      </c>
      <c r="E75" s="105" t="s">
        <v>80</v>
      </c>
      <c r="F75" s="118"/>
      <c r="G75" s="119"/>
      <c r="H75" s="33"/>
      <c r="I75" s="120"/>
      <c r="J75" s="43"/>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row>
    <row r="76" spans="1:114" s="46" customFormat="1" ht="28.5" customHeight="1">
      <c r="A76" s="260"/>
      <c r="B76" s="279"/>
      <c r="C76" s="162" t="s">
        <v>81</v>
      </c>
      <c r="D76" s="144">
        <f>673.92</f>
        <v>673.92</v>
      </c>
      <c r="E76" s="105" t="s">
        <v>91</v>
      </c>
      <c r="F76" s="118"/>
      <c r="G76" s="119"/>
      <c r="H76" s="33"/>
      <c r="I76" s="120"/>
      <c r="J76" s="43"/>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row>
    <row r="77" spans="1:114" s="46" customFormat="1" ht="36.75" customHeight="1">
      <c r="A77" s="260"/>
      <c r="B77" s="279"/>
      <c r="C77" s="128" t="s">
        <v>81</v>
      </c>
      <c r="D77" s="109">
        <v>1280.45</v>
      </c>
      <c r="E77" s="59" t="s">
        <v>92</v>
      </c>
      <c r="F77" s="118"/>
      <c r="G77" s="119"/>
      <c r="H77" s="33"/>
      <c r="I77" s="120"/>
      <c r="J77" s="43"/>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row>
    <row r="78" spans="1:114" s="46" customFormat="1" ht="45.75" customHeight="1">
      <c r="A78" s="260"/>
      <c r="B78" s="279"/>
      <c r="C78" s="146" t="s">
        <v>150</v>
      </c>
      <c r="D78" s="109">
        <f>240+10525+10943</f>
        <v>21708</v>
      </c>
      <c r="E78" s="106" t="s">
        <v>131</v>
      </c>
      <c r="F78" s="5"/>
      <c r="G78" s="14"/>
      <c r="H78" s="12"/>
      <c r="I78" s="15"/>
      <c r="J78" s="43"/>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row>
    <row r="79" spans="1:114" s="46" customFormat="1" ht="173.25" customHeight="1">
      <c r="A79" s="260"/>
      <c r="B79" s="279"/>
      <c r="C79" s="146" t="s">
        <v>133</v>
      </c>
      <c r="D79" s="109">
        <f>57558.22+112102.29+36683.7</f>
        <v>206344.21000000002</v>
      </c>
      <c r="E79" s="106" t="s">
        <v>132</v>
      </c>
      <c r="F79" s="5"/>
      <c r="G79" s="14"/>
      <c r="H79" s="12"/>
      <c r="I79" s="15"/>
      <c r="J79" s="43"/>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row>
    <row r="80" spans="1:114" s="46" customFormat="1" ht="17.25" customHeight="1">
      <c r="A80" s="260"/>
      <c r="B80" s="279"/>
      <c r="C80" s="146" t="s">
        <v>26</v>
      </c>
      <c r="D80" s="109">
        <v>4880</v>
      </c>
      <c r="E80" s="106" t="s">
        <v>198</v>
      </c>
      <c r="F80" s="5"/>
      <c r="G80" s="14"/>
      <c r="H80" s="12"/>
      <c r="I80" s="15"/>
      <c r="J80" s="43"/>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row>
    <row r="81" spans="1:114" s="46" customFormat="1" ht="38.25" customHeight="1">
      <c r="A81" s="255"/>
      <c r="B81" s="280"/>
      <c r="C81" s="146" t="s">
        <v>149</v>
      </c>
      <c r="D81" s="122">
        <f>234344+134230.34</f>
        <v>368574.33999999997</v>
      </c>
      <c r="E81" s="106" t="s">
        <v>148</v>
      </c>
      <c r="F81" s="5"/>
      <c r="G81" s="14"/>
      <c r="H81" s="12"/>
      <c r="I81" s="15"/>
      <c r="J81" s="43"/>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row>
    <row r="82" spans="1:114" s="46" customFormat="1" ht="27.75" customHeight="1">
      <c r="A82" s="153" t="s">
        <v>15</v>
      </c>
      <c r="B82" s="39">
        <f>B74</f>
        <v>0</v>
      </c>
      <c r="C82" s="2"/>
      <c r="D82" s="22">
        <f>SUM(D74:D81)</f>
        <v>1003108.85</v>
      </c>
      <c r="E82" s="23"/>
      <c r="F82" s="50">
        <f>F81</f>
        <v>0</v>
      </c>
      <c r="G82" s="41"/>
      <c r="H82" s="9">
        <f>SUM(H78:H81)</f>
        <v>0</v>
      </c>
      <c r="I82" s="33"/>
      <c r="J82" s="43"/>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row>
    <row r="83" spans="1:114" s="46" customFormat="1" ht="48.75" customHeight="1">
      <c r="A83" s="254" t="s">
        <v>28</v>
      </c>
      <c r="B83" s="278"/>
      <c r="C83" s="21" t="s">
        <v>152</v>
      </c>
      <c r="D83" s="16">
        <v>450053.76</v>
      </c>
      <c r="E83" s="16" t="s">
        <v>151</v>
      </c>
      <c r="F83" s="288"/>
      <c r="G83" s="268"/>
      <c r="H83" s="9"/>
      <c r="I83" s="33"/>
      <c r="J83" s="43"/>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row>
    <row r="84" spans="1:114" s="46" customFormat="1" ht="22.5" customHeight="1">
      <c r="A84" s="260"/>
      <c r="B84" s="279"/>
      <c r="C84" s="21" t="s">
        <v>26</v>
      </c>
      <c r="D84" s="60">
        <v>6100</v>
      </c>
      <c r="E84" s="102" t="s">
        <v>198</v>
      </c>
      <c r="F84" s="289"/>
      <c r="G84" s="271"/>
      <c r="H84" s="9"/>
      <c r="I84" s="33"/>
      <c r="J84" s="43"/>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row>
    <row r="85" spans="1:114" s="46" customFormat="1" ht="29.25" customHeight="1">
      <c r="A85" s="260"/>
      <c r="B85" s="279"/>
      <c r="C85" s="150" t="s">
        <v>172</v>
      </c>
      <c r="D85" s="59">
        <f>23223.05</f>
        <v>23223.05</v>
      </c>
      <c r="E85" s="105" t="s">
        <v>87</v>
      </c>
      <c r="F85" s="289"/>
      <c r="G85" s="271"/>
      <c r="H85" s="14"/>
      <c r="I85" s="14"/>
      <c r="J85" s="43"/>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row>
    <row r="86" spans="1:9" ht="2.25" customHeight="1" hidden="1">
      <c r="A86" s="255"/>
      <c r="B86" s="280"/>
      <c r="C86" s="114"/>
      <c r="D86" s="59"/>
      <c r="E86" s="83"/>
      <c r="F86" s="290"/>
      <c r="G86" s="269"/>
      <c r="H86" s="57"/>
      <c r="I86" s="14"/>
    </row>
    <row r="87" spans="1:114" s="46" customFormat="1" ht="19.5" customHeight="1">
      <c r="A87" s="153" t="s">
        <v>15</v>
      </c>
      <c r="B87" s="39">
        <f>SUM(B83:B83)</f>
        <v>0</v>
      </c>
      <c r="C87" s="2"/>
      <c r="D87" s="101">
        <f>SUM(D83:D86)</f>
        <v>479376.81</v>
      </c>
      <c r="E87" s="84"/>
      <c r="F87" s="50">
        <f>F83</f>
        <v>0</v>
      </c>
      <c r="G87" s="41"/>
      <c r="H87" s="8">
        <f>SUM(H85:H86)</f>
        <v>0</v>
      </c>
      <c r="I87" s="33"/>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row>
    <row r="88" spans="1:114" s="46" customFormat="1" ht="85.5" customHeight="1">
      <c r="A88" s="254" t="s">
        <v>55</v>
      </c>
      <c r="B88" s="278"/>
      <c r="C88" s="152" t="s">
        <v>181</v>
      </c>
      <c r="D88" s="59">
        <f>50998.33+16415.05+9544.8</f>
        <v>76958.18000000001</v>
      </c>
      <c r="E88" s="105" t="s">
        <v>87</v>
      </c>
      <c r="F88" s="288"/>
      <c r="G88" s="268"/>
      <c r="H88" s="8"/>
      <c r="I88" s="33"/>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row>
    <row r="89" spans="1:114" s="46" customFormat="1" ht="21.75" customHeight="1">
      <c r="A89" s="255"/>
      <c r="B89" s="280"/>
      <c r="C89" s="114" t="s">
        <v>199</v>
      </c>
      <c r="D89" s="59">
        <v>2440</v>
      </c>
      <c r="E89" s="102" t="s">
        <v>198</v>
      </c>
      <c r="F89" s="290"/>
      <c r="G89" s="269"/>
      <c r="H89" s="58"/>
      <c r="I89" s="58"/>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row>
    <row r="90" spans="1:114" s="46" customFormat="1" ht="26.25" customHeight="1">
      <c r="A90" s="153" t="s">
        <v>15</v>
      </c>
      <c r="B90" s="39">
        <f>SUM(B88:B89)</f>
        <v>0</v>
      </c>
      <c r="C90" s="3"/>
      <c r="D90" s="23">
        <f>SUM(D88:D89)</f>
        <v>79398.18000000001</v>
      </c>
      <c r="E90" s="23"/>
      <c r="F90" s="10">
        <f>F88</f>
        <v>0</v>
      </c>
      <c r="G90" s="41"/>
      <c r="H90" s="8">
        <f>SUM(H88:H89)</f>
        <v>0</v>
      </c>
      <c r="I90" s="33"/>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row>
    <row r="91" spans="1:114" s="46" customFormat="1" ht="91.5" customHeight="1">
      <c r="A91" s="254" t="s">
        <v>54</v>
      </c>
      <c r="B91" s="284"/>
      <c r="C91" s="128" t="s">
        <v>182</v>
      </c>
      <c r="D91" s="109">
        <f>5046.66+1974.78+20914.61+9544.8</f>
        <v>37480.85</v>
      </c>
      <c r="E91" s="105" t="s">
        <v>87</v>
      </c>
      <c r="F91" s="266"/>
      <c r="G91" s="268"/>
      <c r="H91" s="57"/>
      <c r="I91" s="14"/>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row>
    <row r="92" spans="1:114" s="46" customFormat="1" ht="23.25" customHeight="1">
      <c r="A92" s="260"/>
      <c r="B92" s="285"/>
      <c r="C92" s="136" t="s">
        <v>134</v>
      </c>
      <c r="D92" s="109">
        <v>4320</v>
      </c>
      <c r="E92" s="117" t="s">
        <v>136</v>
      </c>
      <c r="F92" s="270"/>
      <c r="G92" s="271"/>
      <c r="H92" s="57"/>
      <c r="I92" s="14"/>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row>
    <row r="93" spans="1:114" s="46" customFormat="1" ht="21.75" customHeight="1">
      <c r="A93" s="260"/>
      <c r="B93" s="285"/>
      <c r="C93" s="136" t="s">
        <v>26</v>
      </c>
      <c r="D93" s="109">
        <v>4270</v>
      </c>
      <c r="E93" s="102" t="s">
        <v>198</v>
      </c>
      <c r="F93" s="270"/>
      <c r="G93" s="271"/>
      <c r="H93" s="57"/>
      <c r="I93" s="14"/>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row>
    <row r="94" spans="1:114" s="46" customFormat="1" ht="42" customHeight="1">
      <c r="A94" s="255"/>
      <c r="B94" s="286"/>
      <c r="C94" s="128" t="s">
        <v>121</v>
      </c>
      <c r="D94" s="109">
        <f>6770+5607</f>
        <v>12377</v>
      </c>
      <c r="E94" s="59" t="s">
        <v>108</v>
      </c>
      <c r="F94" s="267"/>
      <c r="G94" s="269"/>
      <c r="H94" s="8"/>
      <c r="I94" s="33"/>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row>
    <row r="95" spans="1:114" s="46" customFormat="1" ht="24" customHeight="1">
      <c r="A95" s="153" t="s">
        <v>15</v>
      </c>
      <c r="B95" s="39">
        <f>SUM(B91:B94)</f>
        <v>0</v>
      </c>
      <c r="C95" s="3"/>
      <c r="D95" s="22">
        <f>SUM(D91:D94)</f>
        <v>58447.85</v>
      </c>
      <c r="E95" s="23"/>
      <c r="F95" s="10">
        <f>F91</f>
        <v>0</v>
      </c>
      <c r="G95" s="41"/>
      <c r="H95" s="8">
        <f>SUM(H91:H94)</f>
        <v>0</v>
      </c>
      <c r="I95" s="33"/>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row>
    <row r="96" spans="1:114" s="46" customFormat="1" ht="28.5" customHeight="1">
      <c r="A96" s="254" t="s">
        <v>73</v>
      </c>
      <c r="B96" s="278"/>
      <c r="C96" s="162" t="s">
        <v>81</v>
      </c>
      <c r="D96" s="144">
        <v>1979.64</v>
      </c>
      <c r="E96" s="105" t="s">
        <v>91</v>
      </c>
      <c r="F96" s="123"/>
      <c r="G96" s="119"/>
      <c r="H96" s="8"/>
      <c r="I96" s="33"/>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row>
    <row r="97" spans="1:114" s="46" customFormat="1" ht="26.25" customHeight="1">
      <c r="A97" s="260"/>
      <c r="B97" s="279"/>
      <c r="C97" s="128" t="s">
        <v>81</v>
      </c>
      <c r="D97" s="109">
        <v>1280.45</v>
      </c>
      <c r="E97" s="59" t="s">
        <v>92</v>
      </c>
      <c r="F97" s="123"/>
      <c r="G97" s="119"/>
      <c r="H97" s="8"/>
      <c r="I97" s="33"/>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row>
    <row r="98" spans="1:114" s="46" customFormat="1" ht="107.25" customHeight="1">
      <c r="A98" s="260"/>
      <c r="B98" s="279"/>
      <c r="C98" s="128" t="s">
        <v>183</v>
      </c>
      <c r="D98" s="109">
        <f>26825+2047.2+1974.78+13772.35+62600+46446.1+9544.8</f>
        <v>163210.22999999998</v>
      </c>
      <c r="E98" s="105" t="s">
        <v>87</v>
      </c>
      <c r="F98" s="123"/>
      <c r="G98" s="119"/>
      <c r="H98" s="8"/>
      <c r="I98" s="33"/>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row>
    <row r="99" spans="1:9" ht="23.25" customHeight="1">
      <c r="A99" s="260"/>
      <c r="B99" s="279"/>
      <c r="C99" s="152" t="s">
        <v>29</v>
      </c>
      <c r="D99" s="109">
        <v>64487.68</v>
      </c>
      <c r="E99" s="109" t="s">
        <v>142</v>
      </c>
      <c r="F99" s="281"/>
      <c r="G99" s="268"/>
      <c r="H99" s="5"/>
      <c r="I99" s="14"/>
    </row>
    <row r="100" spans="1:9" ht="81.75" customHeight="1">
      <c r="A100" s="260"/>
      <c r="B100" s="279"/>
      <c r="C100" s="171" t="s">
        <v>154</v>
      </c>
      <c r="D100" s="82">
        <f>93980+22196.34+89605.8</f>
        <v>205782.14</v>
      </c>
      <c r="E100" s="171" t="s">
        <v>153</v>
      </c>
      <c r="F100" s="282"/>
      <c r="G100" s="271"/>
      <c r="H100" s="5"/>
      <c r="I100" s="14"/>
    </row>
    <row r="101" spans="1:9" ht="21.75" customHeight="1">
      <c r="A101" s="260"/>
      <c r="B101" s="279"/>
      <c r="C101" s="116" t="s">
        <v>155</v>
      </c>
      <c r="D101" s="82">
        <v>60</v>
      </c>
      <c r="E101" s="59" t="s">
        <v>108</v>
      </c>
      <c r="F101" s="282"/>
      <c r="G101" s="271"/>
      <c r="H101" s="5"/>
      <c r="I101" s="14"/>
    </row>
    <row r="102" spans="1:9" ht="15.75" customHeight="1">
      <c r="A102" s="260"/>
      <c r="B102" s="279"/>
      <c r="C102" s="152" t="s">
        <v>26</v>
      </c>
      <c r="D102" s="109">
        <v>4880</v>
      </c>
      <c r="E102" s="102" t="s">
        <v>198</v>
      </c>
      <c r="F102" s="282"/>
      <c r="G102" s="271"/>
      <c r="H102" s="5"/>
      <c r="I102" s="14"/>
    </row>
    <row r="103" spans="1:9" ht="15" customHeight="1">
      <c r="A103" s="255"/>
      <c r="B103" s="280"/>
      <c r="C103" s="152"/>
      <c r="D103" s="109"/>
      <c r="E103" s="100"/>
      <c r="F103" s="283"/>
      <c r="G103" s="269"/>
      <c r="H103" s="5"/>
      <c r="I103" s="14"/>
    </row>
    <row r="104" spans="1:114" s="46" customFormat="1" ht="22.5" customHeight="1">
      <c r="A104" s="153" t="s">
        <v>15</v>
      </c>
      <c r="B104" s="52">
        <f>SUM(B96:B96)</f>
        <v>0</v>
      </c>
      <c r="C104" s="152"/>
      <c r="D104" s="22">
        <f>SUM(D96:D103)</f>
        <v>441680.14</v>
      </c>
      <c r="E104" s="23"/>
      <c r="F104" s="10">
        <f>F99</f>
        <v>0</v>
      </c>
      <c r="G104" s="41"/>
      <c r="H104" s="50">
        <f>H99</f>
        <v>0</v>
      </c>
      <c r="I104" s="33"/>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row>
    <row r="105" spans="1:114" s="46" customFormat="1" ht="174.75" customHeight="1" hidden="1">
      <c r="A105" s="153" t="s">
        <v>15</v>
      </c>
      <c r="B105" s="39">
        <f>SUM(B96:B104)</f>
        <v>0</v>
      </c>
      <c r="C105" s="2"/>
      <c r="D105" s="23"/>
      <c r="E105" s="22"/>
      <c r="F105" s="9"/>
      <c r="G105" s="41"/>
      <c r="H105" s="8"/>
      <c r="I105" s="8"/>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row>
    <row r="106" spans="1:114" s="46" customFormat="1" ht="16.5" customHeight="1" hidden="1">
      <c r="A106" s="164" t="s">
        <v>27</v>
      </c>
      <c r="B106" s="62">
        <v>10999</v>
      </c>
      <c r="C106" s="152" t="s">
        <v>35</v>
      </c>
      <c r="D106" s="23"/>
      <c r="E106" s="22"/>
      <c r="F106" s="9"/>
      <c r="G106" s="41"/>
      <c r="H106" s="8"/>
      <c r="I106" s="8"/>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row>
    <row r="107" spans="1:9" ht="17.25" customHeight="1" hidden="1">
      <c r="A107" s="164" t="s">
        <v>27</v>
      </c>
      <c r="B107" s="62">
        <v>1219</v>
      </c>
      <c r="C107" s="152" t="s">
        <v>29</v>
      </c>
      <c r="D107" s="60"/>
      <c r="E107" s="22"/>
      <c r="F107" s="12"/>
      <c r="G107" s="32"/>
      <c r="H107" s="57"/>
      <c r="I107" s="14"/>
    </row>
    <row r="108" spans="1:114" s="46" customFormat="1" ht="16.5" customHeight="1" hidden="1">
      <c r="A108" s="153" t="s">
        <v>15</v>
      </c>
      <c r="B108" s="39">
        <f>SUM(B106:B107)</f>
        <v>12218</v>
      </c>
      <c r="C108" s="2"/>
      <c r="D108" s="23"/>
      <c r="E108" s="22"/>
      <c r="F108" s="9"/>
      <c r="G108" s="41"/>
      <c r="H108" s="8"/>
      <c r="I108" s="8"/>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row>
    <row r="109" spans="1:114" s="46" customFormat="1" ht="16.5" customHeight="1" hidden="1">
      <c r="A109" s="164" t="s">
        <v>22</v>
      </c>
      <c r="B109" s="59">
        <v>3133</v>
      </c>
      <c r="C109" s="152" t="s">
        <v>30</v>
      </c>
      <c r="D109" s="60"/>
      <c r="E109" s="22"/>
      <c r="F109" s="9"/>
      <c r="G109" s="41"/>
      <c r="H109" s="8"/>
      <c r="I109" s="8"/>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row>
    <row r="110" spans="1:114" s="46" customFormat="1" ht="18.75" customHeight="1" hidden="1">
      <c r="A110" s="164" t="s">
        <v>22</v>
      </c>
      <c r="B110" s="59">
        <v>120</v>
      </c>
      <c r="C110" s="152" t="s">
        <v>26</v>
      </c>
      <c r="D110" s="60"/>
      <c r="E110" s="22"/>
      <c r="F110" s="9"/>
      <c r="G110" s="41"/>
      <c r="H110" s="8"/>
      <c r="I110" s="8"/>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row>
    <row r="111" spans="1:114" s="46" customFormat="1" ht="18.75" customHeight="1" hidden="1">
      <c r="A111" s="164" t="s">
        <v>22</v>
      </c>
      <c r="B111" s="59">
        <v>210</v>
      </c>
      <c r="C111" s="152" t="s">
        <v>26</v>
      </c>
      <c r="D111" s="60"/>
      <c r="E111" s="22"/>
      <c r="F111" s="9"/>
      <c r="G111" s="41"/>
      <c r="H111" s="8"/>
      <c r="I111" s="8"/>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row>
    <row r="112" spans="1:114" s="46" customFormat="1" ht="16.5" customHeight="1" hidden="1">
      <c r="A112" s="153" t="s">
        <v>15</v>
      </c>
      <c r="B112" s="22">
        <f>SUM(B109:B111)</f>
        <v>3463</v>
      </c>
      <c r="C112" s="2"/>
      <c r="D112" s="23"/>
      <c r="E112" s="22"/>
      <c r="F112" s="9"/>
      <c r="G112" s="41"/>
      <c r="H112" s="8"/>
      <c r="I112" s="8"/>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row>
    <row r="113" spans="1:114" s="46" customFormat="1" ht="17.25" customHeight="1" hidden="1">
      <c r="A113" s="164" t="s">
        <v>23</v>
      </c>
      <c r="B113" s="63">
        <v>60</v>
      </c>
      <c r="C113" s="152" t="s">
        <v>33</v>
      </c>
      <c r="D113" s="63">
        <v>149639.87</v>
      </c>
      <c r="E113" s="85" t="s">
        <v>32</v>
      </c>
      <c r="F113" s="6"/>
      <c r="G113" s="41"/>
      <c r="H113" s="61"/>
      <c r="I113" s="8"/>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row>
    <row r="114" spans="1:114" s="46" customFormat="1" ht="17.25" customHeight="1" hidden="1">
      <c r="A114" s="164" t="s">
        <v>23</v>
      </c>
      <c r="B114" s="63">
        <v>3951.33</v>
      </c>
      <c r="C114" s="152" t="s">
        <v>34</v>
      </c>
      <c r="D114" s="63"/>
      <c r="E114" s="85"/>
      <c r="F114" s="6"/>
      <c r="G114" s="41"/>
      <c r="H114" s="61"/>
      <c r="I114" s="8"/>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row>
    <row r="115" spans="1:114" s="46" customFormat="1" ht="24" customHeight="1">
      <c r="A115" s="254" t="s">
        <v>27</v>
      </c>
      <c r="B115" s="278">
        <f>360+324</f>
        <v>684</v>
      </c>
      <c r="C115" s="156" t="s">
        <v>81</v>
      </c>
      <c r="D115" s="144">
        <v>673.92</v>
      </c>
      <c r="E115" s="105" t="s">
        <v>91</v>
      </c>
      <c r="F115" s="115"/>
      <c r="G115" s="119"/>
      <c r="H115" s="61"/>
      <c r="I115" s="8"/>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row>
    <row r="116" spans="1:114" s="46" customFormat="1" ht="20.25" customHeight="1">
      <c r="A116" s="260"/>
      <c r="B116" s="279"/>
      <c r="C116" s="128" t="s">
        <v>81</v>
      </c>
      <c r="D116" s="109">
        <v>1280.45</v>
      </c>
      <c r="E116" s="59" t="s">
        <v>92</v>
      </c>
      <c r="F116" s="115"/>
      <c r="G116" s="119"/>
      <c r="H116" s="61"/>
      <c r="I116" s="8"/>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row>
    <row r="117" spans="1:114" s="46" customFormat="1" ht="105" customHeight="1">
      <c r="A117" s="260"/>
      <c r="B117" s="279"/>
      <c r="C117" s="128" t="s">
        <v>184</v>
      </c>
      <c r="D117" s="109">
        <f>26825+7776.26+1974.78+13772.35+32830.1+9544.8</f>
        <v>92723.29</v>
      </c>
      <c r="E117" s="105" t="s">
        <v>87</v>
      </c>
      <c r="F117" s="115"/>
      <c r="G117" s="119"/>
      <c r="H117" s="61"/>
      <c r="I117" s="8"/>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row>
    <row r="118" spans="1:9" ht="29.25" customHeight="1">
      <c r="A118" s="260"/>
      <c r="B118" s="279"/>
      <c r="C118" s="156" t="s">
        <v>138</v>
      </c>
      <c r="D118" s="109">
        <f>1898+160+60</f>
        <v>2118</v>
      </c>
      <c r="E118" s="122" t="s">
        <v>108</v>
      </c>
      <c r="F118" s="281"/>
      <c r="G118" s="268"/>
      <c r="H118" s="57"/>
      <c r="I118" s="14"/>
    </row>
    <row r="119" spans="1:9" ht="20.25" customHeight="1">
      <c r="A119" s="260"/>
      <c r="B119" s="279"/>
      <c r="C119" s="156" t="s">
        <v>26</v>
      </c>
      <c r="D119" s="109">
        <v>5490</v>
      </c>
      <c r="E119" s="122" t="s">
        <v>198</v>
      </c>
      <c r="F119" s="282"/>
      <c r="G119" s="271"/>
      <c r="H119" s="57"/>
      <c r="I119" s="104"/>
    </row>
    <row r="120" spans="1:9" ht="20.25" customHeight="1">
      <c r="A120" s="260"/>
      <c r="B120" s="279"/>
      <c r="C120" s="156" t="s">
        <v>192</v>
      </c>
      <c r="D120" s="109"/>
      <c r="E120" s="109"/>
      <c r="F120" s="283"/>
      <c r="G120" s="269"/>
      <c r="H120" s="57"/>
      <c r="I120" s="104"/>
    </row>
    <row r="121" spans="1:114" s="46" customFormat="1" ht="19.5" customHeight="1">
      <c r="A121" s="153" t="s">
        <v>15</v>
      </c>
      <c r="B121" s="52">
        <f>SUM(B115:B115)</f>
        <v>684</v>
      </c>
      <c r="C121" s="158"/>
      <c r="D121" s="22">
        <f>SUM(D115:D120)</f>
        <v>102285.65999999999</v>
      </c>
      <c r="E121" s="23"/>
      <c r="F121" s="10">
        <f>F118</f>
        <v>0</v>
      </c>
      <c r="G121" s="41"/>
      <c r="H121" s="8">
        <f>SUM(H118:H120)</f>
        <v>0</v>
      </c>
      <c r="I121" s="33"/>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row>
    <row r="122" spans="1:114" s="46" customFormat="1" ht="85.5" customHeight="1">
      <c r="A122" s="254" t="s">
        <v>74</v>
      </c>
      <c r="B122" s="278"/>
      <c r="C122" s="152" t="s">
        <v>181</v>
      </c>
      <c r="D122" s="60">
        <f>50998.33+9607.05+9544.8</f>
        <v>70150.18000000001</v>
      </c>
      <c r="E122" s="105" t="s">
        <v>87</v>
      </c>
      <c r="F122" s="281"/>
      <c r="G122" s="268"/>
      <c r="H122" s="57"/>
      <c r="I122" s="14"/>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row>
    <row r="123" spans="1:9" ht="16.5" customHeight="1">
      <c r="A123" s="255"/>
      <c r="B123" s="280"/>
      <c r="C123" s="152" t="s">
        <v>26</v>
      </c>
      <c r="D123" s="60">
        <v>3416</v>
      </c>
      <c r="E123" s="122" t="s">
        <v>198</v>
      </c>
      <c r="F123" s="283"/>
      <c r="G123" s="269"/>
      <c r="H123" s="60"/>
      <c r="I123" s="94"/>
    </row>
    <row r="124" spans="1:114" s="46" customFormat="1" ht="25.5" customHeight="1">
      <c r="A124" s="153" t="s">
        <v>15</v>
      </c>
      <c r="B124" s="39">
        <f>SUM(B122:B122)</f>
        <v>0</v>
      </c>
      <c r="C124" s="3"/>
      <c r="D124" s="22">
        <f>SUM(D122:D123)</f>
        <v>73566.18000000001</v>
      </c>
      <c r="E124" s="23"/>
      <c r="F124" s="10">
        <f>F122</f>
        <v>0</v>
      </c>
      <c r="G124" s="41"/>
      <c r="H124" s="8">
        <f>SUM(H122:H123)</f>
        <v>0</v>
      </c>
      <c r="I124" s="33"/>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row>
    <row r="125" spans="1:114" s="46" customFormat="1" ht="18.75" customHeight="1">
      <c r="A125" s="254" t="s">
        <v>75</v>
      </c>
      <c r="B125" s="278">
        <v>120</v>
      </c>
      <c r="C125" s="156" t="s">
        <v>81</v>
      </c>
      <c r="D125" s="144">
        <v>1305.72</v>
      </c>
      <c r="E125" s="105" t="s">
        <v>91</v>
      </c>
      <c r="F125" s="281"/>
      <c r="G125" s="268"/>
      <c r="H125" s="57"/>
      <c r="I125" s="14"/>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row>
    <row r="126" spans="1:114" s="46" customFormat="1" ht="18.75" customHeight="1">
      <c r="A126" s="260"/>
      <c r="B126" s="279"/>
      <c r="C126" s="128" t="s">
        <v>81</v>
      </c>
      <c r="D126" s="109">
        <v>1280.45</v>
      </c>
      <c r="E126" s="59" t="s">
        <v>92</v>
      </c>
      <c r="F126" s="282"/>
      <c r="G126" s="271"/>
      <c r="H126" s="57"/>
      <c r="I126" s="14"/>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row>
    <row r="127" spans="1:114" s="46" customFormat="1" ht="129.75" customHeight="1">
      <c r="A127" s="260"/>
      <c r="B127" s="279"/>
      <c r="C127" s="137" t="s">
        <v>185</v>
      </c>
      <c r="D127" s="109">
        <f>26825+7776.26+1974.78+17370.35+50998.33+23223.05+15300+9544.8</f>
        <v>153012.57</v>
      </c>
      <c r="E127" s="105" t="s">
        <v>87</v>
      </c>
      <c r="F127" s="282"/>
      <c r="G127" s="271"/>
      <c r="H127" s="57"/>
      <c r="I127" s="14"/>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row>
    <row r="128" spans="1:114" s="46" customFormat="1" ht="33.75" customHeight="1">
      <c r="A128" s="260"/>
      <c r="B128" s="279"/>
      <c r="C128" s="137" t="s">
        <v>156</v>
      </c>
      <c r="D128" s="109">
        <f>480+100</f>
        <v>580</v>
      </c>
      <c r="E128" s="138" t="s">
        <v>108</v>
      </c>
      <c r="F128" s="282"/>
      <c r="G128" s="271"/>
      <c r="H128" s="57"/>
      <c r="I128" s="14"/>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row>
    <row r="129" spans="1:114" s="46" customFormat="1" ht="19.5" customHeight="1">
      <c r="A129" s="260"/>
      <c r="B129" s="279"/>
      <c r="C129" s="156" t="s">
        <v>193</v>
      </c>
      <c r="D129" s="122"/>
      <c r="E129" s="105"/>
      <c r="F129" s="282"/>
      <c r="G129" s="271"/>
      <c r="H129" s="57"/>
      <c r="I129" s="14"/>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row>
    <row r="130" spans="1:9" ht="20.25" customHeight="1">
      <c r="A130" s="255"/>
      <c r="B130" s="280"/>
      <c r="C130" s="116" t="s">
        <v>26</v>
      </c>
      <c r="D130" s="122">
        <v>7930</v>
      </c>
      <c r="E130" s="105" t="s">
        <v>198</v>
      </c>
      <c r="F130" s="283"/>
      <c r="G130" s="269"/>
      <c r="H130" s="57"/>
      <c r="I130" s="14"/>
    </row>
    <row r="131" spans="1:114" s="46" customFormat="1" ht="20.25" customHeight="1">
      <c r="A131" s="153" t="s">
        <v>15</v>
      </c>
      <c r="B131" s="39">
        <f>SUM(B125:B130)</f>
        <v>120</v>
      </c>
      <c r="C131" s="3"/>
      <c r="D131" s="22">
        <f>SUM(D125:D130)</f>
        <v>164108.74000000002</v>
      </c>
      <c r="E131" s="23"/>
      <c r="F131" s="10">
        <f>F125</f>
        <v>0</v>
      </c>
      <c r="G131" s="41"/>
      <c r="H131" s="8">
        <f>SUM(H125:H130)</f>
        <v>0</v>
      </c>
      <c r="I131" s="33"/>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row>
    <row r="132" spans="1:114" s="46" customFormat="1" ht="23.25" customHeight="1" hidden="1">
      <c r="A132" s="254" t="s">
        <v>76</v>
      </c>
      <c r="B132" s="278">
        <f>791.2+2245.96+562+806+2178.6</f>
        <v>6583.76</v>
      </c>
      <c r="C132" s="152"/>
      <c r="D132" s="59"/>
      <c r="E132" s="86"/>
      <c r="F132" s="281"/>
      <c r="G132" s="268"/>
      <c r="H132" s="8"/>
      <c r="I132" s="33"/>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row>
    <row r="133" spans="1:114" s="46" customFormat="1" ht="218.25" customHeight="1">
      <c r="A133" s="260"/>
      <c r="B133" s="279"/>
      <c r="C133" s="162" t="s">
        <v>186</v>
      </c>
      <c r="D133" s="122">
        <f>33517.38+22321.38+32190+7776.26+1974.78+40315.36+13772.35+79120+60051+16415.05+9544.8</f>
        <v>316998.36</v>
      </c>
      <c r="E133" s="105" t="s">
        <v>87</v>
      </c>
      <c r="F133" s="282"/>
      <c r="G133" s="271"/>
      <c r="H133" s="8"/>
      <c r="I133" s="120"/>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row>
    <row r="134" spans="1:114" s="46" customFormat="1" ht="19.5" customHeight="1">
      <c r="A134" s="260"/>
      <c r="B134" s="279"/>
      <c r="C134" s="128" t="s">
        <v>29</v>
      </c>
      <c r="D134" s="109"/>
      <c r="E134" s="122"/>
      <c r="F134" s="282"/>
      <c r="G134" s="271"/>
      <c r="H134" s="8"/>
      <c r="I134" s="120"/>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row>
    <row r="135" spans="1:114" s="46" customFormat="1" ht="141.75" customHeight="1">
      <c r="A135" s="260"/>
      <c r="B135" s="279"/>
      <c r="C135" s="156" t="s">
        <v>106</v>
      </c>
      <c r="D135" s="122">
        <v>142506</v>
      </c>
      <c r="E135" s="105" t="s">
        <v>80</v>
      </c>
      <c r="F135" s="282"/>
      <c r="G135" s="271"/>
      <c r="H135" s="8"/>
      <c r="I135" s="120"/>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row>
    <row r="136" spans="1:114" s="46" customFormat="1" ht="218.25" customHeight="1">
      <c r="A136" s="260"/>
      <c r="B136" s="279"/>
      <c r="C136" s="146" t="s">
        <v>158</v>
      </c>
      <c r="D136" s="109">
        <v>402168.72</v>
      </c>
      <c r="E136" s="106" t="s">
        <v>132</v>
      </c>
      <c r="F136" s="282"/>
      <c r="G136" s="271"/>
      <c r="H136" s="8"/>
      <c r="I136" s="120"/>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row>
    <row r="137" spans="1:114" s="46" customFormat="1" ht="41.25" customHeight="1">
      <c r="A137" s="260"/>
      <c r="B137" s="279"/>
      <c r="C137" s="156" t="s">
        <v>157</v>
      </c>
      <c r="D137" s="122">
        <f>750+240+6175</f>
        <v>7165</v>
      </c>
      <c r="E137" s="105" t="s">
        <v>108</v>
      </c>
      <c r="F137" s="282"/>
      <c r="G137" s="271"/>
      <c r="H137" s="8"/>
      <c r="I137" s="120"/>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row>
    <row r="138" spans="1:114" s="46" customFormat="1" ht="47.25" customHeight="1">
      <c r="A138" s="260"/>
      <c r="B138" s="279"/>
      <c r="C138" s="165" t="s">
        <v>160</v>
      </c>
      <c r="D138" s="122">
        <v>245480.54</v>
      </c>
      <c r="E138" s="172" t="s">
        <v>159</v>
      </c>
      <c r="F138" s="282"/>
      <c r="G138" s="271"/>
      <c r="H138" s="8"/>
      <c r="I138" s="120"/>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row>
    <row r="139" spans="1:114" s="46" customFormat="1" ht="24.75" customHeight="1">
      <c r="A139" s="260"/>
      <c r="B139" s="279"/>
      <c r="C139" s="165" t="s">
        <v>113</v>
      </c>
      <c r="D139" s="109">
        <f>1082.18</f>
        <v>1082.18</v>
      </c>
      <c r="E139" s="122" t="s">
        <v>112</v>
      </c>
      <c r="F139" s="282"/>
      <c r="G139" s="271"/>
      <c r="H139" s="8"/>
      <c r="I139" s="120"/>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row>
    <row r="140" spans="1:114" s="46" customFormat="1" ht="24.75" customHeight="1">
      <c r="A140" s="260"/>
      <c r="B140" s="279"/>
      <c r="C140" s="165" t="s">
        <v>26</v>
      </c>
      <c r="D140" s="109">
        <v>6710</v>
      </c>
      <c r="E140" s="122" t="s">
        <v>198</v>
      </c>
      <c r="F140" s="282"/>
      <c r="G140" s="271"/>
      <c r="H140" s="8"/>
      <c r="I140" s="120"/>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row>
    <row r="141" spans="1:114" s="46" customFormat="1" ht="122.25" customHeight="1">
      <c r="A141" s="260"/>
      <c r="B141" s="279"/>
      <c r="C141" s="165" t="s">
        <v>173</v>
      </c>
      <c r="D141" s="109">
        <f>87150+800+75472.25+29277.9+96513.89+106300</f>
        <v>395514.04</v>
      </c>
      <c r="E141" s="122" t="s">
        <v>110</v>
      </c>
      <c r="F141" s="282"/>
      <c r="G141" s="271"/>
      <c r="H141" s="8"/>
      <c r="I141" s="120"/>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row>
    <row r="142" spans="1:114" s="46" customFormat="1" ht="24" customHeight="1">
      <c r="A142" s="153" t="s">
        <v>15</v>
      </c>
      <c r="B142" s="52">
        <f>SUM(B132:B132)</f>
        <v>6583.76</v>
      </c>
      <c r="C142" s="152"/>
      <c r="D142" s="22">
        <f>SUM(D133:D141)</f>
        <v>1517624.8399999999</v>
      </c>
      <c r="E142" s="60"/>
      <c r="F142" s="10">
        <f>F132</f>
        <v>0</v>
      </c>
      <c r="G142" s="41"/>
      <c r="H142" s="50">
        <f>SUM(H132:H141)</f>
        <v>0</v>
      </c>
      <c r="I142" s="33"/>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row>
    <row r="143" spans="1:114" s="46" customFormat="1" ht="29.25" customHeight="1">
      <c r="A143" s="277" t="s">
        <v>37</v>
      </c>
      <c r="B143" s="278"/>
      <c r="C143" s="156" t="s">
        <v>81</v>
      </c>
      <c r="D143" s="144">
        <v>1305.72</v>
      </c>
      <c r="E143" s="105" t="s">
        <v>91</v>
      </c>
      <c r="F143" s="266"/>
      <c r="G143" s="268"/>
      <c r="H143" s="57"/>
      <c r="I143" s="14"/>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row>
    <row r="144" spans="1:114" s="46" customFormat="1" ht="20.25" customHeight="1">
      <c r="A144" s="277"/>
      <c r="B144" s="279"/>
      <c r="C144" s="128" t="s">
        <v>81</v>
      </c>
      <c r="D144" s="109">
        <v>1280.45</v>
      </c>
      <c r="E144" s="59" t="s">
        <v>92</v>
      </c>
      <c r="F144" s="270"/>
      <c r="G144" s="271"/>
      <c r="H144" s="57"/>
      <c r="I144" s="14"/>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row>
    <row r="145" spans="1:114" s="46" customFormat="1" ht="107.25" customHeight="1">
      <c r="A145" s="277"/>
      <c r="B145" s="279"/>
      <c r="C145" s="165" t="s">
        <v>187</v>
      </c>
      <c r="D145" s="122">
        <f>2729.6+1974.78+20217.91+6808+26825+9544.8</f>
        <v>68100.09</v>
      </c>
      <c r="E145" s="105" t="s">
        <v>87</v>
      </c>
      <c r="F145" s="270"/>
      <c r="G145" s="271"/>
      <c r="H145" s="57"/>
      <c r="I145" s="14"/>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row>
    <row r="146" spans="1:114" s="46" customFormat="1" ht="27" customHeight="1">
      <c r="A146" s="277"/>
      <c r="B146" s="279"/>
      <c r="C146" s="156" t="s">
        <v>120</v>
      </c>
      <c r="D146" s="122">
        <v>240</v>
      </c>
      <c r="E146" s="105" t="s">
        <v>108</v>
      </c>
      <c r="F146" s="270"/>
      <c r="G146" s="271"/>
      <c r="H146" s="57"/>
      <c r="I146" s="14"/>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row>
    <row r="147" spans="1:114" s="46" customFormat="1" ht="16.5" customHeight="1">
      <c r="A147" s="277"/>
      <c r="B147" s="280"/>
      <c r="C147" s="128" t="s">
        <v>26</v>
      </c>
      <c r="D147" s="109">
        <v>6710</v>
      </c>
      <c r="E147" s="122" t="s">
        <v>198</v>
      </c>
      <c r="F147" s="267"/>
      <c r="G147" s="269"/>
      <c r="H147" s="61"/>
      <c r="I147" s="8"/>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row>
    <row r="148" spans="1:114" s="46" customFormat="1" ht="19.5" customHeight="1">
      <c r="A148" s="153" t="s">
        <v>15</v>
      </c>
      <c r="B148" s="64">
        <f>B143</f>
        <v>0</v>
      </c>
      <c r="C148" s="2"/>
      <c r="D148" s="64">
        <f>SUM(D143:D147)</f>
        <v>77636.26</v>
      </c>
      <c r="E148" s="22"/>
      <c r="F148" s="9">
        <f>F143</f>
        <v>0</v>
      </c>
      <c r="G148" s="41"/>
      <c r="H148" s="8">
        <f>SUM(H143:H147)</f>
        <v>0</v>
      </c>
      <c r="I148" s="8"/>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row>
    <row r="149" spans="1:114" s="46" customFormat="1" ht="132.75" customHeight="1">
      <c r="A149" s="254" t="s">
        <v>53</v>
      </c>
      <c r="B149" s="261">
        <v>138</v>
      </c>
      <c r="C149" s="156" t="s">
        <v>188</v>
      </c>
      <c r="D149" s="122">
        <f>1974.78+26331.26+35853+45236.2+9544.8</f>
        <v>118940.04</v>
      </c>
      <c r="E149" s="105" t="s">
        <v>87</v>
      </c>
      <c r="F149" s="266"/>
      <c r="G149" s="268"/>
      <c r="H149" s="8"/>
      <c r="I149" s="8"/>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row>
    <row r="150" spans="1:114" s="46" customFormat="1" ht="58.5" customHeight="1">
      <c r="A150" s="260"/>
      <c r="B150" s="262"/>
      <c r="C150" s="158" t="s">
        <v>161</v>
      </c>
      <c r="D150" s="122">
        <f>7740+6552+420</f>
        <v>14712</v>
      </c>
      <c r="E150" s="122" t="s">
        <v>108</v>
      </c>
      <c r="F150" s="270"/>
      <c r="G150" s="271"/>
      <c r="H150" s="8"/>
      <c r="I150" s="8"/>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row>
    <row r="151" spans="1:114" s="46" customFormat="1" ht="19.5" customHeight="1">
      <c r="A151" s="260"/>
      <c r="B151" s="262"/>
      <c r="C151" s="158" t="s">
        <v>194</v>
      </c>
      <c r="D151" s="122"/>
      <c r="E151" s="138"/>
      <c r="F151" s="270"/>
      <c r="G151" s="271"/>
      <c r="H151" s="8"/>
      <c r="I151" s="8"/>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row>
    <row r="152" spans="1:114" s="46" customFormat="1" ht="19.5" customHeight="1">
      <c r="A152" s="260"/>
      <c r="B152" s="262"/>
      <c r="C152" s="158" t="s">
        <v>26</v>
      </c>
      <c r="D152" s="122">
        <v>2440</v>
      </c>
      <c r="E152" s="138" t="s">
        <v>198</v>
      </c>
      <c r="F152" s="270"/>
      <c r="G152" s="271"/>
      <c r="H152" s="8"/>
      <c r="I152" s="8"/>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row>
    <row r="153" spans="1:114" s="46" customFormat="1" ht="19.5" customHeight="1">
      <c r="A153" s="260"/>
      <c r="B153" s="262"/>
      <c r="C153" s="158" t="s">
        <v>134</v>
      </c>
      <c r="D153" s="122">
        <v>4320</v>
      </c>
      <c r="E153" s="106" t="s">
        <v>141</v>
      </c>
      <c r="F153" s="267"/>
      <c r="G153" s="269"/>
      <c r="H153" s="61"/>
      <c r="I153" s="8"/>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row>
    <row r="154" spans="1:114" s="46" customFormat="1" ht="21" customHeight="1">
      <c r="A154" s="153" t="s">
        <v>15</v>
      </c>
      <c r="B154" s="64">
        <f>SUM(B149)</f>
        <v>138</v>
      </c>
      <c r="C154" s="2"/>
      <c r="D154" s="64">
        <f>SUM(D149:D153)</f>
        <v>140412.03999999998</v>
      </c>
      <c r="E154" s="22"/>
      <c r="F154" s="9">
        <f>F149</f>
        <v>0</v>
      </c>
      <c r="G154" s="41"/>
      <c r="H154" s="8">
        <f>SUM(H149:H153)</f>
        <v>0</v>
      </c>
      <c r="I154" s="8"/>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row>
    <row r="155" spans="1:114" s="46" customFormat="1" ht="33.75" customHeight="1">
      <c r="A155" s="254" t="s">
        <v>77</v>
      </c>
      <c r="B155" s="261"/>
      <c r="C155" s="152" t="s">
        <v>164</v>
      </c>
      <c r="D155" s="59">
        <v>50998.33</v>
      </c>
      <c r="E155" s="105" t="s">
        <v>87</v>
      </c>
      <c r="F155" s="9"/>
      <c r="G155" s="41"/>
      <c r="H155" s="8"/>
      <c r="I155" s="8"/>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row>
    <row r="156" spans="1:114" s="46" customFormat="1" ht="20.25" customHeight="1">
      <c r="A156" s="255"/>
      <c r="B156" s="265"/>
      <c r="C156" s="166" t="s">
        <v>26</v>
      </c>
      <c r="D156" s="131">
        <v>5490</v>
      </c>
      <c r="E156" s="109" t="s">
        <v>198</v>
      </c>
      <c r="F156" s="170"/>
      <c r="G156" s="110"/>
      <c r="H156" s="8"/>
      <c r="I156" s="8"/>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row>
    <row r="157" spans="1:114" s="46" customFormat="1" ht="19.5" customHeight="1">
      <c r="A157" s="153" t="s">
        <v>15</v>
      </c>
      <c r="B157" s="22">
        <f>SUM(B155)</f>
        <v>0</v>
      </c>
      <c r="C157" s="2"/>
      <c r="D157" s="23">
        <f>SUM(D155:D156)</f>
        <v>56488.33</v>
      </c>
      <c r="E157" s="103"/>
      <c r="F157" s="9"/>
      <c r="G157" s="41"/>
      <c r="H157" s="8">
        <f>SUM(H156:H156)</f>
        <v>0</v>
      </c>
      <c r="I157" s="8"/>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row>
    <row r="158" spans="1:114" s="46" customFormat="1" ht="33.75" customHeight="1">
      <c r="A158" s="254" t="s">
        <v>38</v>
      </c>
      <c r="B158" s="261"/>
      <c r="C158" s="152" t="s">
        <v>164</v>
      </c>
      <c r="D158" s="59">
        <v>50998.33</v>
      </c>
      <c r="E158" s="105" t="s">
        <v>87</v>
      </c>
      <c r="F158" s="266"/>
      <c r="G158" s="268"/>
      <c r="H158" s="57"/>
      <c r="I158" s="14"/>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row>
    <row r="159" spans="1:114" s="46" customFormat="1" ht="15.75" customHeight="1">
      <c r="A159" s="255"/>
      <c r="B159" s="265"/>
      <c r="C159" s="152" t="s">
        <v>26</v>
      </c>
      <c r="D159" s="82">
        <v>6710</v>
      </c>
      <c r="E159" s="122" t="s">
        <v>198</v>
      </c>
      <c r="F159" s="267"/>
      <c r="G159" s="269"/>
      <c r="H159" s="8"/>
      <c r="I159" s="8"/>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row>
    <row r="160" spans="1:114" s="46" customFormat="1" ht="19.5" customHeight="1">
      <c r="A160" s="153" t="s">
        <v>15</v>
      </c>
      <c r="B160" s="22">
        <f>B158</f>
        <v>0</v>
      </c>
      <c r="C160" s="2"/>
      <c r="D160" s="23">
        <f>D158+D159</f>
        <v>57708.33</v>
      </c>
      <c r="E160" s="59"/>
      <c r="F160" s="9">
        <f>F158</f>
        <v>0</v>
      </c>
      <c r="G160" s="41"/>
      <c r="H160" s="8">
        <f>SUM(H158:H159)</f>
        <v>0</v>
      </c>
      <c r="I160" s="8"/>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row>
    <row r="161" spans="1:114" s="46" customFormat="1" ht="105" customHeight="1">
      <c r="A161" s="254" t="s">
        <v>56</v>
      </c>
      <c r="B161" s="261">
        <f>150+63.25</f>
        <v>213.25</v>
      </c>
      <c r="C161" s="128" t="s">
        <v>189</v>
      </c>
      <c r="D161" s="60">
        <f>5046.66+1974.78+26368.76+4772.4</f>
        <v>38162.6</v>
      </c>
      <c r="E161" s="105" t="s">
        <v>87</v>
      </c>
      <c r="F161" s="266"/>
      <c r="G161" s="274"/>
      <c r="H161" s="57"/>
      <c r="I161" s="14"/>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row>
    <row r="162" spans="1:114" s="46" customFormat="1" ht="19.5" customHeight="1">
      <c r="A162" s="260"/>
      <c r="B162" s="262"/>
      <c r="C162" s="149" t="s">
        <v>118</v>
      </c>
      <c r="D162" s="60"/>
      <c r="E162" s="105"/>
      <c r="F162" s="270"/>
      <c r="G162" s="275"/>
      <c r="H162" s="57"/>
      <c r="I162" s="14"/>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row>
    <row r="163" spans="1:114" s="46" customFormat="1" ht="19.5" customHeight="1">
      <c r="A163" s="260"/>
      <c r="B163" s="262"/>
      <c r="C163" s="149" t="s">
        <v>26</v>
      </c>
      <c r="D163" s="60">
        <v>1220</v>
      </c>
      <c r="E163" s="105" t="s">
        <v>198</v>
      </c>
      <c r="F163" s="270"/>
      <c r="G163" s="275"/>
      <c r="H163" s="57"/>
      <c r="I163" s="14"/>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row>
    <row r="164" spans="1:114" s="46" customFormat="1" ht="39.75" customHeight="1">
      <c r="A164" s="260"/>
      <c r="B164" s="262"/>
      <c r="C164" s="149" t="s">
        <v>176</v>
      </c>
      <c r="D164" s="60">
        <f>1314+4080+432</f>
        <v>5826</v>
      </c>
      <c r="E164" s="105" t="s">
        <v>175</v>
      </c>
      <c r="F164" s="270"/>
      <c r="G164" s="275"/>
      <c r="H164" s="57"/>
      <c r="I164" s="14"/>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row>
    <row r="165" spans="1:114" s="46" customFormat="1" ht="53.25" customHeight="1">
      <c r="A165" s="255"/>
      <c r="B165" s="265"/>
      <c r="C165" s="114" t="s">
        <v>162</v>
      </c>
      <c r="D165" s="82">
        <f>7740+6242</f>
        <v>13982</v>
      </c>
      <c r="E165" s="59" t="s">
        <v>131</v>
      </c>
      <c r="F165" s="267"/>
      <c r="G165" s="276"/>
      <c r="H165" s="8"/>
      <c r="I165" s="8"/>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row>
    <row r="166" spans="1:114" s="46" customFormat="1" ht="21.75" customHeight="1">
      <c r="A166" s="153" t="s">
        <v>15</v>
      </c>
      <c r="B166" s="22">
        <f>B161</f>
        <v>213.25</v>
      </c>
      <c r="C166" s="2"/>
      <c r="D166" s="23">
        <f>SUM(D161:D165)</f>
        <v>59190.6</v>
      </c>
      <c r="E166" s="59"/>
      <c r="F166" s="9">
        <f>F161</f>
        <v>0</v>
      </c>
      <c r="G166" s="41"/>
      <c r="H166" s="8">
        <f>SUM(H161:H165)</f>
        <v>0</v>
      </c>
      <c r="I166" s="8"/>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row>
    <row r="167" spans="1:114" s="46" customFormat="1" ht="21" customHeight="1">
      <c r="A167" s="254" t="s">
        <v>78</v>
      </c>
      <c r="B167" s="261"/>
      <c r="C167" s="156" t="s">
        <v>81</v>
      </c>
      <c r="D167" s="144">
        <v>673.92</v>
      </c>
      <c r="E167" s="105" t="s">
        <v>91</v>
      </c>
      <c r="F167" s="126"/>
      <c r="G167" s="119"/>
      <c r="H167" s="8"/>
      <c r="I167" s="8"/>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row>
    <row r="168" spans="1:114" s="46" customFormat="1" ht="24.75" customHeight="1">
      <c r="A168" s="260"/>
      <c r="B168" s="262"/>
      <c r="C168" s="128" t="s">
        <v>81</v>
      </c>
      <c r="D168" s="109">
        <v>2560.9</v>
      </c>
      <c r="E168" s="59" t="s">
        <v>92</v>
      </c>
      <c r="F168" s="126"/>
      <c r="G168" s="119"/>
      <c r="H168" s="8"/>
      <c r="I168" s="8"/>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row>
    <row r="169" spans="1:114" s="46" customFormat="1" ht="54" customHeight="1">
      <c r="A169" s="260"/>
      <c r="B169" s="262"/>
      <c r="C169" s="136" t="s">
        <v>93</v>
      </c>
      <c r="D169" s="131">
        <v>165000</v>
      </c>
      <c r="E169" s="135" t="s">
        <v>97</v>
      </c>
      <c r="F169" s="126"/>
      <c r="G169" s="119"/>
      <c r="H169" s="8"/>
      <c r="I169" s="8"/>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row>
    <row r="170" spans="1:114" s="46" customFormat="1" ht="66" customHeight="1">
      <c r="A170" s="260"/>
      <c r="B170" s="262"/>
      <c r="C170" s="128" t="s">
        <v>125</v>
      </c>
      <c r="D170" s="148">
        <f>26825+2729.6+1974.78+13772.35</f>
        <v>45301.729999999996</v>
      </c>
      <c r="E170" s="105" t="s">
        <v>87</v>
      </c>
      <c r="F170" s="266"/>
      <c r="G170" s="268"/>
      <c r="H170" s="59"/>
      <c r="I170" s="94"/>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row>
    <row r="171" spans="1:114" s="46" customFormat="1" ht="22.5" customHeight="1">
      <c r="A171" s="260"/>
      <c r="B171" s="262"/>
      <c r="C171" s="156" t="s">
        <v>143</v>
      </c>
      <c r="D171" s="122">
        <f>75+544</f>
        <v>619</v>
      </c>
      <c r="E171" s="105" t="s">
        <v>108</v>
      </c>
      <c r="F171" s="270"/>
      <c r="G171" s="271"/>
      <c r="H171" s="59"/>
      <c r="I171" s="94"/>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row>
    <row r="172" spans="1:114" s="46" customFormat="1" ht="15.75">
      <c r="A172" s="255"/>
      <c r="B172" s="265"/>
      <c r="C172" s="162" t="s">
        <v>26</v>
      </c>
      <c r="D172" s="122">
        <v>3172</v>
      </c>
      <c r="E172" s="105" t="s">
        <v>198</v>
      </c>
      <c r="F172" s="267"/>
      <c r="G172" s="269"/>
      <c r="H172" s="8"/>
      <c r="I172" s="8"/>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row>
    <row r="173" spans="1:114" s="46" customFormat="1" ht="19.5" customHeight="1">
      <c r="A173" s="153" t="s">
        <v>15</v>
      </c>
      <c r="B173" s="22">
        <f>SUM(B167)</f>
        <v>0</v>
      </c>
      <c r="C173" s="2"/>
      <c r="D173" s="23">
        <f>SUM(D167:D172)</f>
        <v>217327.55</v>
      </c>
      <c r="E173" s="59"/>
      <c r="F173" s="9">
        <f>F170</f>
        <v>0</v>
      </c>
      <c r="G173" s="41"/>
      <c r="H173" s="8">
        <f>SUM(H170:H172)</f>
        <v>0</v>
      </c>
      <c r="I173" s="8"/>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row>
    <row r="174" spans="1:114" s="46" customFormat="1" ht="20.25" customHeight="1" hidden="1">
      <c r="A174" s="254" t="s">
        <v>39</v>
      </c>
      <c r="B174" s="261"/>
      <c r="C174" s="272"/>
      <c r="D174" s="83"/>
      <c r="E174" s="16"/>
      <c r="F174" s="266"/>
      <c r="G174" s="268"/>
      <c r="H174" s="57"/>
      <c r="I174" s="14"/>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row>
    <row r="175" spans="1:114" s="46" customFormat="1" ht="0.75" customHeight="1" hidden="1">
      <c r="A175" s="260"/>
      <c r="B175" s="262"/>
      <c r="C175" s="273"/>
      <c r="D175" s="88"/>
      <c r="E175" s="88"/>
      <c r="F175" s="270"/>
      <c r="G175" s="271"/>
      <c r="H175" s="8"/>
      <c r="I175" s="8"/>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row>
    <row r="176" spans="1:114" s="46" customFormat="1" ht="20.25" customHeight="1" hidden="1">
      <c r="A176" s="255"/>
      <c r="B176" s="265"/>
      <c r="C176" s="152"/>
      <c r="D176" s="59"/>
      <c r="E176" s="78"/>
      <c r="F176" s="267"/>
      <c r="G176" s="269"/>
      <c r="H176" s="8"/>
      <c r="I176" s="8"/>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row>
    <row r="177" spans="1:114" s="46" customFormat="1" ht="19.5" customHeight="1" hidden="1">
      <c r="A177" s="153" t="s">
        <v>15</v>
      </c>
      <c r="B177" s="22">
        <f>SUM(B174)</f>
        <v>0</v>
      </c>
      <c r="C177" s="2"/>
      <c r="D177" s="23">
        <f>SUM(D174:D176)</f>
        <v>0</v>
      </c>
      <c r="E177" s="59"/>
      <c r="F177" s="9">
        <f>F174</f>
        <v>0</v>
      </c>
      <c r="G177" s="41"/>
      <c r="H177" s="8">
        <f>SUM(H174:H176)</f>
        <v>0</v>
      </c>
      <c r="I177" s="8"/>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row>
    <row r="178" spans="1:114" s="46" customFormat="1" ht="27.75" customHeight="1">
      <c r="A178" s="254" t="s">
        <v>40</v>
      </c>
      <c r="B178" s="261">
        <v>120</v>
      </c>
      <c r="C178" s="156" t="s">
        <v>81</v>
      </c>
      <c r="D178" s="144">
        <v>673.92</v>
      </c>
      <c r="E178" s="105" t="s">
        <v>91</v>
      </c>
      <c r="F178" s="126"/>
      <c r="G178" s="119"/>
      <c r="H178" s="8"/>
      <c r="I178" s="8"/>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row>
    <row r="179" spans="1:114" s="46" customFormat="1" ht="24.75" customHeight="1">
      <c r="A179" s="260"/>
      <c r="B179" s="262"/>
      <c r="C179" s="128" t="s">
        <v>81</v>
      </c>
      <c r="D179" s="109">
        <v>1920.47</v>
      </c>
      <c r="E179" s="59" t="s">
        <v>92</v>
      </c>
      <c r="F179" s="126"/>
      <c r="G179" s="119"/>
      <c r="H179" s="8"/>
      <c r="I179" s="8"/>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row>
    <row r="180" spans="1:114" s="46" customFormat="1" ht="61.5" customHeight="1">
      <c r="A180" s="260"/>
      <c r="B180" s="262"/>
      <c r="C180" s="136" t="s">
        <v>93</v>
      </c>
      <c r="D180" s="131">
        <v>165000</v>
      </c>
      <c r="E180" s="135" t="s">
        <v>97</v>
      </c>
      <c r="F180" s="266"/>
      <c r="G180" s="268"/>
      <c r="H180" s="57"/>
      <c r="I180" s="14"/>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row>
    <row r="181" spans="1:114" s="46" customFormat="1" ht="76.5" customHeight="1">
      <c r="A181" s="260"/>
      <c r="B181" s="262"/>
      <c r="C181" s="128" t="s">
        <v>174</v>
      </c>
      <c r="D181" s="148">
        <f>26825+2729.6+1974.78+13772.35+19214.1</f>
        <v>64515.829999999994</v>
      </c>
      <c r="E181" s="105" t="s">
        <v>87</v>
      </c>
      <c r="F181" s="270"/>
      <c r="G181" s="271"/>
      <c r="H181" s="57"/>
      <c r="I181" s="14"/>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row>
    <row r="182" spans="1:114" s="46" customFormat="1" ht="20.25" customHeight="1">
      <c r="A182" s="260"/>
      <c r="B182" s="262"/>
      <c r="C182" s="128" t="s">
        <v>26</v>
      </c>
      <c r="D182" s="148">
        <v>9760</v>
      </c>
      <c r="E182" s="105" t="s">
        <v>198</v>
      </c>
      <c r="F182" s="270"/>
      <c r="G182" s="271"/>
      <c r="H182" s="57"/>
      <c r="I182" s="14"/>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row>
    <row r="183" spans="1:114" s="46" customFormat="1" ht="22.5" customHeight="1">
      <c r="A183" s="260"/>
      <c r="B183" s="262"/>
      <c r="C183" s="156" t="s">
        <v>81</v>
      </c>
      <c r="D183" s="122">
        <v>960</v>
      </c>
      <c r="E183" s="105" t="s">
        <v>117</v>
      </c>
      <c r="F183" s="270"/>
      <c r="G183" s="271"/>
      <c r="H183" s="57"/>
      <c r="I183" s="14"/>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row>
    <row r="184" spans="1:114" s="46" customFormat="1" ht="27" customHeight="1">
      <c r="A184" s="260"/>
      <c r="B184" s="262"/>
      <c r="C184" s="156" t="s">
        <v>155</v>
      </c>
      <c r="D184" s="131">
        <v>40</v>
      </c>
      <c r="E184" s="105" t="s">
        <v>108</v>
      </c>
      <c r="F184" s="270"/>
      <c r="G184" s="271"/>
      <c r="H184" s="57"/>
      <c r="I184" s="14"/>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row>
    <row r="185" spans="1:114" s="46" customFormat="1" ht="20.25" customHeight="1">
      <c r="A185" s="255"/>
      <c r="B185" s="265"/>
      <c r="C185" s="158" t="s">
        <v>194</v>
      </c>
      <c r="D185" s="122"/>
      <c r="E185" s="109"/>
      <c r="F185" s="267"/>
      <c r="G185" s="269"/>
      <c r="H185" s="8"/>
      <c r="I185" s="8"/>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row>
    <row r="186" spans="1:114" s="46" customFormat="1" ht="21" customHeight="1">
      <c r="A186" s="153" t="s">
        <v>15</v>
      </c>
      <c r="B186" s="22">
        <f>SUM(B178)</f>
        <v>120</v>
      </c>
      <c r="C186" s="2"/>
      <c r="D186" s="23">
        <f>SUM(D178:D185)</f>
        <v>242870.22</v>
      </c>
      <c r="E186" s="103"/>
      <c r="F186" s="9">
        <f>F180</f>
        <v>0</v>
      </c>
      <c r="G186" s="41"/>
      <c r="H186" s="8">
        <f>SUM(H180:H185)</f>
        <v>0</v>
      </c>
      <c r="I186" s="8"/>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row>
    <row r="187" spans="1:114" s="46" customFormat="1" ht="56.25" customHeight="1">
      <c r="A187" s="254" t="s">
        <v>31</v>
      </c>
      <c r="B187" s="261"/>
      <c r="C187" s="156" t="s">
        <v>190</v>
      </c>
      <c r="D187" s="59">
        <f>50998.33+4772.4</f>
        <v>55770.73</v>
      </c>
      <c r="E187" s="105" t="s">
        <v>87</v>
      </c>
      <c r="F187" s="266"/>
      <c r="G187" s="268"/>
      <c r="H187" s="57"/>
      <c r="I187" s="14"/>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row>
    <row r="188" spans="1:114" s="46" customFormat="1" ht="18" customHeight="1">
      <c r="A188" s="255"/>
      <c r="B188" s="265"/>
      <c r="C188" s="168" t="s">
        <v>26</v>
      </c>
      <c r="D188" s="59">
        <v>3050</v>
      </c>
      <c r="E188" s="122" t="s">
        <v>198</v>
      </c>
      <c r="F188" s="267"/>
      <c r="G188" s="269"/>
      <c r="H188" s="8"/>
      <c r="I188" s="8"/>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row>
    <row r="189" spans="1:114" s="46" customFormat="1" ht="18.75" customHeight="1">
      <c r="A189" s="153" t="s">
        <v>15</v>
      </c>
      <c r="B189" s="22">
        <f>B187</f>
        <v>0</v>
      </c>
      <c r="C189" s="2"/>
      <c r="D189" s="23">
        <f>SUM(D187:D188)</f>
        <v>58820.73</v>
      </c>
      <c r="E189" s="22"/>
      <c r="F189" s="9">
        <f>F187</f>
        <v>0</v>
      </c>
      <c r="G189" s="41"/>
      <c r="H189" s="8">
        <f>SUM(H187:H188)</f>
        <v>0</v>
      </c>
      <c r="I189" s="8"/>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row>
    <row r="190" spans="1:114" s="46" customFormat="1" ht="103.5" customHeight="1">
      <c r="A190" s="254" t="s">
        <v>41</v>
      </c>
      <c r="B190" s="261">
        <f>420+26400+24</f>
        <v>26844</v>
      </c>
      <c r="C190" s="156" t="s">
        <v>189</v>
      </c>
      <c r="D190" s="59">
        <f>5046.66+1974.78+26717.11+9544.8</f>
        <v>43283.350000000006</v>
      </c>
      <c r="E190" s="105" t="s">
        <v>87</v>
      </c>
      <c r="F190" s="266"/>
      <c r="G190" s="268"/>
      <c r="H190" s="8"/>
      <c r="I190" s="8"/>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row>
    <row r="191" spans="1:114" s="46" customFormat="1" ht="56.25" customHeight="1">
      <c r="A191" s="260"/>
      <c r="B191" s="262"/>
      <c r="C191" s="128" t="s">
        <v>163</v>
      </c>
      <c r="D191" s="109">
        <f>6420+8100+370</f>
        <v>14890</v>
      </c>
      <c r="E191" s="105" t="s">
        <v>108</v>
      </c>
      <c r="F191" s="270"/>
      <c r="G191" s="271"/>
      <c r="H191" s="8"/>
      <c r="I191" s="8"/>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row>
    <row r="192" spans="1:114" s="46" customFormat="1" ht="19.5" customHeight="1">
      <c r="A192" s="260"/>
      <c r="B192" s="262"/>
      <c r="C192" s="165" t="s">
        <v>195</v>
      </c>
      <c r="D192" s="109"/>
      <c r="E192" s="122"/>
      <c r="F192" s="270"/>
      <c r="G192" s="271"/>
      <c r="H192" s="8"/>
      <c r="I192" s="8"/>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row>
    <row r="193" spans="1:114" s="46" customFormat="1" ht="20.25" customHeight="1">
      <c r="A193" s="255"/>
      <c r="B193" s="265"/>
      <c r="C193" s="152" t="s">
        <v>26</v>
      </c>
      <c r="D193" s="82">
        <v>4270</v>
      </c>
      <c r="E193" s="78" t="s">
        <v>198</v>
      </c>
      <c r="F193" s="267"/>
      <c r="G193" s="269"/>
      <c r="H193" s="59"/>
      <c r="I193" s="96"/>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row>
    <row r="194" spans="1:114" s="46" customFormat="1" ht="23.25" customHeight="1">
      <c r="A194" s="153" t="s">
        <v>15</v>
      </c>
      <c r="B194" s="22">
        <f>B190</f>
        <v>26844</v>
      </c>
      <c r="C194" s="2"/>
      <c r="D194" s="23">
        <f>SUM(D190:D193)</f>
        <v>62443.350000000006</v>
      </c>
      <c r="E194" s="103"/>
      <c r="F194" s="9">
        <f>F190</f>
        <v>0</v>
      </c>
      <c r="G194" s="41"/>
      <c r="H194" s="8">
        <f>SUM(H190:H193)</f>
        <v>0</v>
      </c>
      <c r="I194" s="8"/>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row>
    <row r="195" spans="1:114" s="46" customFormat="1" ht="38.25" customHeight="1">
      <c r="A195" s="258" t="s">
        <v>79</v>
      </c>
      <c r="B195" s="256"/>
      <c r="C195" s="21" t="s">
        <v>85</v>
      </c>
      <c r="D195" s="60">
        <v>413673.75</v>
      </c>
      <c r="E195" s="125" t="s">
        <v>86</v>
      </c>
      <c r="F195" s="9"/>
      <c r="G195" s="41"/>
      <c r="H195" s="8"/>
      <c r="I195" s="8"/>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row>
    <row r="196" spans="1:114" s="46" customFormat="1" ht="13.5" customHeight="1">
      <c r="A196" s="263"/>
      <c r="B196" s="264"/>
      <c r="C196" s="21"/>
      <c r="D196" s="60"/>
      <c r="E196" s="103"/>
      <c r="F196" s="9"/>
      <c r="G196" s="41"/>
      <c r="H196" s="8"/>
      <c r="I196" s="8"/>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row>
    <row r="197" spans="1:114" s="46" customFormat="1" ht="16.5" customHeight="1">
      <c r="A197" s="259"/>
      <c r="B197" s="257"/>
      <c r="C197" s="21"/>
      <c r="D197" s="60"/>
      <c r="E197" s="59"/>
      <c r="F197" s="12"/>
      <c r="G197" s="41"/>
      <c r="H197" s="5"/>
      <c r="I197" s="14"/>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row>
    <row r="198" spans="1:114" s="46" customFormat="1" ht="23.25" customHeight="1">
      <c r="A198" s="153" t="s">
        <v>15</v>
      </c>
      <c r="B198" s="22">
        <v>0</v>
      </c>
      <c r="C198" s="2"/>
      <c r="D198" s="23">
        <f>SUM(D195:D197)</f>
        <v>413673.75</v>
      </c>
      <c r="E198" s="22"/>
      <c r="F198" s="9">
        <v>0</v>
      </c>
      <c r="G198" s="41"/>
      <c r="H198" s="50">
        <f>SUM(H197)</f>
        <v>0</v>
      </c>
      <c r="I198" s="8"/>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row>
    <row r="199" spans="1:114" s="46" customFormat="1" ht="84" customHeight="1">
      <c r="A199" s="254" t="s">
        <v>47</v>
      </c>
      <c r="B199" s="261">
        <v>806</v>
      </c>
      <c r="C199" s="152" t="s">
        <v>179</v>
      </c>
      <c r="D199" s="82">
        <f>5046.66+50998.33+4984.56</f>
        <v>61029.55</v>
      </c>
      <c r="E199" s="105" t="s">
        <v>87</v>
      </c>
      <c r="F199" s="6"/>
      <c r="G199" s="41"/>
      <c r="H199" s="57"/>
      <c r="I199" s="14"/>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row>
    <row r="200" spans="1:114" s="46" customFormat="1" ht="31.5" customHeight="1">
      <c r="A200" s="260"/>
      <c r="B200" s="262"/>
      <c r="C200" s="152" t="s">
        <v>134</v>
      </c>
      <c r="D200" s="82">
        <v>4320</v>
      </c>
      <c r="E200" s="122" t="s">
        <v>117</v>
      </c>
      <c r="F200" s="6"/>
      <c r="G200" s="41"/>
      <c r="H200" s="57"/>
      <c r="I200" s="14"/>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row>
    <row r="201" spans="1:114" s="46" customFormat="1" ht="21" customHeight="1">
      <c r="A201" s="255"/>
      <c r="B201" s="265"/>
      <c r="C201" s="156" t="s">
        <v>196</v>
      </c>
      <c r="D201" s="82"/>
      <c r="E201" s="16"/>
      <c r="F201" s="6"/>
      <c r="G201" s="41"/>
      <c r="H201" s="57"/>
      <c r="I201" s="14"/>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row>
    <row r="202" spans="1:114" s="46" customFormat="1" ht="24.75" customHeight="1">
      <c r="A202" s="153" t="s">
        <v>15</v>
      </c>
      <c r="B202" s="22">
        <f>B199</f>
        <v>806</v>
      </c>
      <c r="C202" s="2"/>
      <c r="D202" s="23">
        <f>SUM(D199:D201)</f>
        <v>65349.55</v>
      </c>
      <c r="E202" s="22"/>
      <c r="F202" s="9"/>
      <c r="G202" s="41"/>
      <c r="H202" s="8">
        <f>H199</f>
        <v>0</v>
      </c>
      <c r="I202" s="8"/>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row>
    <row r="203" spans="1:114" s="46" customFormat="1" ht="24.75" customHeight="1">
      <c r="A203" s="254" t="s">
        <v>36</v>
      </c>
      <c r="B203" s="256"/>
      <c r="C203" s="21"/>
      <c r="D203" s="60"/>
      <c r="E203" s="122"/>
      <c r="F203" s="9"/>
      <c r="G203" s="41"/>
      <c r="H203" s="8"/>
      <c r="I203" s="8"/>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row>
    <row r="204" spans="1:114" s="46" customFormat="1" ht="15.75" customHeight="1">
      <c r="A204" s="255"/>
      <c r="B204" s="257"/>
      <c r="C204" s="152"/>
      <c r="D204" s="82"/>
      <c r="E204" s="16"/>
      <c r="F204" s="6"/>
      <c r="G204" s="41"/>
      <c r="H204" s="57"/>
      <c r="I204" s="14"/>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row>
    <row r="205" spans="1:114" s="46" customFormat="1" ht="20.25" customHeight="1">
      <c r="A205" s="153" t="s">
        <v>15</v>
      </c>
      <c r="B205" s="22">
        <f>B204</f>
        <v>0</v>
      </c>
      <c r="C205" s="2"/>
      <c r="D205" s="23">
        <f>SUM(D203:D204)</f>
        <v>0</v>
      </c>
      <c r="E205" s="22"/>
      <c r="F205" s="9"/>
      <c r="G205" s="41"/>
      <c r="H205" s="8">
        <f>H204</f>
        <v>0</v>
      </c>
      <c r="I205" s="8"/>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row>
    <row r="206" spans="1:114" s="46" customFormat="1" ht="80.25" customHeight="1">
      <c r="A206" s="254" t="s">
        <v>43</v>
      </c>
      <c r="B206" s="256"/>
      <c r="C206" s="152" t="s">
        <v>178</v>
      </c>
      <c r="D206" s="59">
        <f>50998.33+4984.56</f>
        <v>55982.89</v>
      </c>
      <c r="E206" s="105" t="s">
        <v>87</v>
      </c>
      <c r="F206" s="9"/>
      <c r="G206" s="41"/>
      <c r="H206" s="8"/>
      <c r="I206" s="8"/>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row>
    <row r="207" spans="1:114" s="46" customFormat="1" ht="30.75" customHeight="1">
      <c r="A207" s="255"/>
      <c r="B207" s="257"/>
      <c r="C207" s="152"/>
      <c r="D207" s="83"/>
      <c r="E207" s="16"/>
      <c r="F207" s="6"/>
      <c r="G207" s="41"/>
      <c r="H207" s="57"/>
      <c r="I207" s="14"/>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row>
    <row r="208" spans="1:114" s="46" customFormat="1" ht="23.25" customHeight="1">
      <c r="A208" s="153" t="s">
        <v>15</v>
      </c>
      <c r="B208" s="22">
        <f>B207</f>
        <v>0</v>
      </c>
      <c r="C208" s="2"/>
      <c r="D208" s="23">
        <f>SUM(D206:D207)</f>
        <v>55982.89</v>
      </c>
      <c r="E208" s="22"/>
      <c r="F208" s="9"/>
      <c r="G208" s="41"/>
      <c r="H208" s="8">
        <f>H207</f>
        <v>0</v>
      </c>
      <c r="I208" s="8"/>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row>
    <row r="209" spans="1:114" s="46" customFormat="1" ht="88.5" customHeight="1">
      <c r="A209" s="258" t="s">
        <v>52</v>
      </c>
      <c r="B209" s="256"/>
      <c r="C209" s="21" t="s">
        <v>179</v>
      </c>
      <c r="D209" s="60">
        <f>5046.66+50998.33+4984.56</f>
        <v>61029.55</v>
      </c>
      <c r="E209" s="105" t="s">
        <v>87</v>
      </c>
      <c r="F209" s="9"/>
      <c r="G209" s="41"/>
      <c r="H209" s="8"/>
      <c r="I209" s="8"/>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row>
    <row r="210" spans="1:114" s="46" customFormat="1" ht="28.5" customHeight="1">
      <c r="A210" s="259"/>
      <c r="B210" s="257"/>
      <c r="C210" s="21" t="s">
        <v>135</v>
      </c>
      <c r="D210" s="82">
        <v>4320</v>
      </c>
      <c r="E210" s="16" t="s">
        <v>117</v>
      </c>
      <c r="F210" s="9"/>
      <c r="G210" s="41"/>
      <c r="H210" s="57"/>
      <c r="I210" s="14"/>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row>
    <row r="211" spans="1:114" s="46" customFormat="1" ht="29.25" customHeight="1">
      <c r="A211" s="153" t="s">
        <v>15</v>
      </c>
      <c r="B211" s="22">
        <f>B210</f>
        <v>0</v>
      </c>
      <c r="C211" s="2"/>
      <c r="D211" s="23">
        <f>SUM(D209:D210)</f>
        <v>65349.55</v>
      </c>
      <c r="E211" s="22"/>
      <c r="F211" s="9"/>
      <c r="G211" s="41"/>
      <c r="H211" s="8">
        <f>H210</f>
        <v>0</v>
      </c>
      <c r="I211" s="8"/>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row>
    <row r="212" spans="1:114" s="46" customFormat="1" ht="39.75" customHeight="1">
      <c r="A212" s="78" t="s">
        <v>50</v>
      </c>
      <c r="B212" s="59"/>
      <c r="C212" s="21" t="s">
        <v>96</v>
      </c>
      <c r="D212" s="148">
        <v>85840</v>
      </c>
      <c r="E212" s="105" t="s">
        <v>87</v>
      </c>
      <c r="F212" s="6"/>
      <c r="G212" s="41"/>
      <c r="H212" s="57"/>
      <c r="I212" s="14"/>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row>
    <row r="213" spans="1:114" s="46" customFormat="1" ht="24.75" customHeight="1">
      <c r="A213" s="153" t="s">
        <v>15</v>
      </c>
      <c r="B213" s="22">
        <f>SUM(B212)</f>
        <v>0</v>
      </c>
      <c r="C213" s="2"/>
      <c r="D213" s="23">
        <f>D212</f>
        <v>85840</v>
      </c>
      <c r="E213" s="22"/>
      <c r="F213" s="9"/>
      <c r="G213" s="41"/>
      <c r="H213" s="8">
        <f>H212</f>
        <v>0</v>
      </c>
      <c r="I213" s="8"/>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row>
    <row r="214" spans="1:114" s="46" customFormat="1" ht="51.75" customHeight="1">
      <c r="A214" s="254" t="s">
        <v>42</v>
      </c>
      <c r="B214" s="256"/>
      <c r="C214" s="21" t="s">
        <v>166</v>
      </c>
      <c r="D214" s="60">
        <f>5178.96+50998.33</f>
        <v>56177.29</v>
      </c>
      <c r="E214" s="105" t="s">
        <v>87</v>
      </c>
      <c r="F214" s="9"/>
      <c r="G214" s="41"/>
      <c r="H214" s="8"/>
      <c r="I214" s="8"/>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row>
    <row r="215" spans="1:114" s="46" customFormat="1" ht="27.75" customHeight="1">
      <c r="A215" s="255"/>
      <c r="B215" s="257"/>
      <c r="C215" s="152" t="s">
        <v>122</v>
      </c>
      <c r="D215" s="82">
        <v>980</v>
      </c>
      <c r="E215" s="16" t="s">
        <v>108</v>
      </c>
      <c r="F215" s="6"/>
      <c r="G215" s="41"/>
      <c r="H215" s="57"/>
      <c r="I215" s="14"/>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row>
    <row r="216" spans="1:114" s="46" customFormat="1" ht="23.25" customHeight="1">
      <c r="A216" s="153" t="s">
        <v>15</v>
      </c>
      <c r="B216" s="22">
        <f>SUM(B214)</f>
        <v>0</v>
      </c>
      <c r="C216" s="2"/>
      <c r="D216" s="23">
        <f>SUM(D214:D215)</f>
        <v>57157.29</v>
      </c>
      <c r="E216" s="22"/>
      <c r="F216" s="9"/>
      <c r="G216" s="41"/>
      <c r="H216" s="8">
        <f>H215</f>
        <v>0</v>
      </c>
      <c r="I216" s="8"/>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row>
    <row r="217" spans="1:114" s="46" customFormat="1" ht="31.5">
      <c r="A217" s="254" t="s">
        <v>48</v>
      </c>
      <c r="B217" s="261"/>
      <c r="C217" s="152" t="s">
        <v>164</v>
      </c>
      <c r="D217" s="59">
        <v>50998.33</v>
      </c>
      <c r="E217" s="105" t="s">
        <v>87</v>
      </c>
      <c r="F217" s="6"/>
      <c r="G217" s="41"/>
      <c r="H217" s="57"/>
      <c r="I217" s="14"/>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row>
    <row r="218" spans="1:114" s="46" customFormat="1" ht="19.5" customHeight="1">
      <c r="A218" s="260"/>
      <c r="B218" s="262"/>
      <c r="C218" s="116"/>
      <c r="D218" s="59"/>
      <c r="E218" s="74"/>
      <c r="F218" s="6"/>
      <c r="G218" s="41"/>
      <c r="H218" s="8"/>
      <c r="I218" s="8"/>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row>
    <row r="219" spans="1:114" s="46" customFormat="1" ht="24" customHeight="1">
      <c r="A219" s="169" t="s">
        <v>15</v>
      </c>
      <c r="B219" s="22">
        <f>B217</f>
        <v>0</v>
      </c>
      <c r="C219" s="116"/>
      <c r="D219" s="22">
        <f>D217+D218</f>
        <v>50998.33</v>
      </c>
      <c r="E219" s="85"/>
      <c r="F219" s="6"/>
      <c r="G219" s="41"/>
      <c r="H219" s="8">
        <f>H217+H218</f>
        <v>0</v>
      </c>
      <c r="I219" s="8"/>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row>
    <row r="220" spans="1:114" s="46" customFormat="1" ht="39" customHeight="1">
      <c r="A220" s="78" t="s">
        <v>51</v>
      </c>
      <c r="B220" s="59"/>
      <c r="C220" s="152"/>
      <c r="D220" s="82"/>
      <c r="E220" s="16"/>
      <c r="F220" s="6"/>
      <c r="G220" s="41"/>
      <c r="H220" s="5"/>
      <c r="I220" s="14"/>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row>
    <row r="221" spans="1:114" s="46" customFormat="1" ht="24.75" customHeight="1" thickBot="1">
      <c r="A221" s="153" t="s">
        <v>15</v>
      </c>
      <c r="B221" s="39">
        <f>B220</f>
        <v>0</v>
      </c>
      <c r="C221" s="2"/>
      <c r="D221" s="89">
        <f>D220</f>
        <v>0</v>
      </c>
      <c r="E221" s="22"/>
      <c r="F221" s="9"/>
      <c r="G221" s="41"/>
      <c r="H221" s="50">
        <f>H220</f>
        <v>0</v>
      </c>
      <c r="I221" s="8"/>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row>
    <row r="222" spans="1:114" s="67" customFormat="1" ht="60.75" customHeight="1" thickBot="1">
      <c r="A222" s="163" t="s">
        <v>57</v>
      </c>
      <c r="B222" s="22">
        <f>SUM(B211+B69+B72+B82+B87+B90+B95+B104+B121+B124+B131+B142+B148+B219+B154+B157+B160+B166+B173+B177+B186+B189+B194+B202+B205+B208+B213+B216+B221)</f>
        <v>35509.01</v>
      </c>
      <c r="C222" s="22"/>
      <c r="D222" s="101">
        <f>SUM(D211+D69+D72+D82+D87+D219+D90+D95+D104+D121+D124+D131+D142+D148+D154+D157+D160+D166+D173+D177+D186+D189+D194+D202+D205+D208+D213+D216+D221+D198)</f>
        <v>5686846.019999999</v>
      </c>
      <c r="E222" s="22">
        <f>SUM(E211+E69+E72+E82+E87+E219+E90+E95+E104+E121+E124+E131+E142+E148+E154+E157+E160+E166+E173+E177+E186+E189+E194+E202+E205+E208+E213+E216+E221)</f>
        <v>0</v>
      </c>
      <c r="F222" s="22">
        <f>SUM(F211+F69+F72+F82+F87+F219+F90+F95+F104+F121+F124+F131+F142+F148+F154+F157+F160+F166+F173+F177+F186+F189+F194+F202+F205+F208+F213+F216+F221)</f>
        <v>0</v>
      </c>
      <c r="G222" s="22">
        <f>SUM(G211+G69+G72+G82+G87+G219+G90+G95+G104+G121+G124+G131+G142+G148+G154+G157+G160+G166+G173+G177+G186+G189+G194+G202+G205+G208+G213+G216+G221)</f>
        <v>0</v>
      </c>
      <c r="H222" s="22">
        <f>SUM(H211+H69+H72+H82+H87+H219+H90+H95+H104+H121+H124+H131+H142+H148+H154+H157+H160+H166+H173+H177+H186+H189+H194+H202+H205+H208+H213+H216+H221)+H198</f>
        <v>0</v>
      </c>
      <c r="I222" s="22">
        <f>SUM(I211+I69+I72+I82+I87+I219+I90+I95+I104+I121+I124+I131+I142+I148+I154+I157+I160+I166+I173+I177+I186+I189+I194+I202+I205+I208+I213+I216+I221)</f>
        <v>0</v>
      </c>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c r="BI222" s="66"/>
      <c r="BJ222" s="66"/>
      <c r="BK222" s="66"/>
      <c r="BL222" s="66"/>
      <c r="BM222" s="66"/>
      <c r="BN222" s="66"/>
      <c r="BO222" s="66"/>
      <c r="BP222" s="66"/>
      <c r="BQ222" s="66"/>
      <c r="BR222" s="66"/>
      <c r="BS222" s="66"/>
      <c r="BT222" s="66"/>
      <c r="BU222" s="66"/>
      <c r="BV222" s="66"/>
      <c r="BW222" s="66"/>
      <c r="BX222" s="66"/>
      <c r="BY222" s="66"/>
      <c r="BZ222" s="66"/>
      <c r="CA222" s="66"/>
      <c r="CB222" s="66"/>
      <c r="CC222" s="66"/>
      <c r="CD222" s="66"/>
      <c r="CE222" s="66"/>
      <c r="CF222" s="66"/>
      <c r="CG222" s="66"/>
      <c r="CH222" s="66"/>
      <c r="CI222" s="66"/>
      <c r="CJ222" s="66"/>
      <c r="CK222" s="66"/>
      <c r="CL222" s="66"/>
      <c r="CM222" s="66"/>
      <c r="CN222" s="66"/>
      <c r="CO222" s="66"/>
      <c r="CP222" s="66"/>
      <c r="CQ222" s="66"/>
      <c r="CR222" s="66"/>
      <c r="CS222" s="66"/>
      <c r="CT222" s="66"/>
      <c r="CU222" s="66"/>
      <c r="CV222" s="66"/>
      <c r="CW222" s="66"/>
      <c r="CX222" s="66"/>
      <c r="CY222" s="66"/>
      <c r="CZ222" s="66"/>
      <c r="DA222" s="66"/>
      <c r="DB222" s="66"/>
      <c r="DC222" s="66"/>
      <c r="DD222" s="66"/>
      <c r="DE222" s="66"/>
      <c r="DF222" s="66"/>
      <c r="DG222" s="66"/>
      <c r="DH222" s="66"/>
      <c r="DI222" s="66"/>
      <c r="DJ222" s="66"/>
    </row>
    <row r="223" spans="1:114" s="67" customFormat="1" ht="79.5" customHeight="1" thickBot="1">
      <c r="A223" s="153" t="s">
        <v>58</v>
      </c>
      <c r="B223" s="23">
        <f>SUM(B73+B222)</f>
        <v>94203.01000000001</v>
      </c>
      <c r="C223" s="23"/>
      <c r="D223" s="23">
        <f aca="true" t="shared" si="0" ref="D223:I223">SUM(D73+D222)</f>
        <v>6287951.759999999</v>
      </c>
      <c r="E223" s="23">
        <f t="shared" si="0"/>
        <v>0</v>
      </c>
      <c r="F223" s="23">
        <f t="shared" si="0"/>
        <v>0</v>
      </c>
      <c r="G223" s="23">
        <f t="shared" si="0"/>
        <v>0</v>
      </c>
      <c r="H223" s="23">
        <f t="shared" si="0"/>
        <v>0</v>
      </c>
      <c r="I223" s="23">
        <f t="shared" si="0"/>
        <v>0</v>
      </c>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6"/>
      <c r="BR223" s="66"/>
      <c r="BS223" s="66"/>
      <c r="BT223" s="66"/>
      <c r="BU223" s="66"/>
      <c r="BV223" s="66"/>
      <c r="BW223" s="66"/>
      <c r="BX223" s="66"/>
      <c r="BY223" s="66"/>
      <c r="BZ223" s="66"/>
      <c r="CA223" s="66"/>
      <c r="CB223" s="66"/>
      <c r="CC223" s="66"/>
      <c r="CD223" s="66"/>
      <c r="CE223" s="66"/>
      <c r="CF223" s="66"/>
      <c r="CG223" s="66"/>
      <c r="CH223" s="66"/>
      <c r="CI223" s="66"/>
      <c r="CJ223" s="66"/>
      <c r="CK223" s="66"/>
      <c r="CL223" s="66"/>
      <c r="CM223" s="66"/>
      <c r="CN223" s="66"/>
      <c r="CO223" s="66"/>
      <c r="CP223" s="66"/>
      <c r="CQ223" s="66"/>
      <c r="CR223" s="66"/>
      <c r="CS223" s="66"/>
      <c r="CT223" s="66"/>
      <c r="CU223" s="66"/>
      <c r="CV223" s="66"/>
      <c r="CW223" s="66"/>
      <c r="CX223" s="66"/>
      <c r="CY223" s="66"/>
      <c r="CZ223" s="66"/>
      <c r="DA223" s="66"/>
      <c r="DB223" s="66"/>
      <c r="DC223" s="66"/>
      <c r="DD223" s="66"/>
      <c r="DE223" s="66"/>
      <c r="DF223" s="66"/>
      <c r="DG223" s="66"/>
      <c r="DH223" s="66"/>
      <c r="DI223" s="66"/>
      <c r="DJ223" s="66"/>
    </row>
    <row r="224" spans="1:114" s="70" customFormat="1" ht="9.75" customHeight="1" hidden="1">
      <c r="A224" s="68"/>
      <c r="B224" s="68"/>
      <c r="C224" s="68"/>
      <c r="D224" s="90"/>
      <c r="E224" s="71"/>
      <c r="F224" s="69"/>
      <c r="G224" s="69"/>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4"/>
      <c r="CS224" s="34"/>
      <c r="CT224" s="34"/>
      <c r="CU224" s="34"/>
      <c r="CV224" s="34"/>
      <c r="CW224" s="34"/>
      <c r="CX224" s="34"/>
      <c r="CY224" s="34"/>
      <c r="CZ224" s="34"/>
      <c r="DA224" s="34"/>
      <c r="DB224" s="34"/>
      <c r="DC224" s="34"/>
      <c r="DD224" s="34"/>
      <c r="DE224" s="34"/>
      <c r="DF224" s="34"/>
      <c r="DG224" s="34"/>
      <c r="DH224" s="34"/>
      <c r="DI224" s="34"/>
      <c r="DJ224" s="34"/>
    </row>
    <row r="225" spans="1:114" s="70" customFormat="1" ht="34.5" customHeight="1">
      <c r="A225" s="71" t="s">
        <v>59</v>
      </c>
      <c r="B225" s="71"/>
      <c r="C225" s="71"/>
      <c r="D225" s="90"/>
      <c r="E225" s="71" t="s">
        <v>24</v>
      </c>
      <c r="F225" s="69"/>
      <c r="G225" s="25" t="s">
        <v>61</v>
      </c>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c r="CN225" s="34"/>
      <c r="CO225" s="34"/>
      <c r="CP225" s="34"/>
      <c r="CQ225" s="34"/>
      <c r="CR225" s="34"/>
      <c r="CS225" s="34"/>
      <c r="CT225" s="34"/>
      <c r="CU225" s="34"/>
      <c r="CV225" s="34"/>
      <c r="CW225" s="34"/>
      <c r="CX225" s="34"/>
      <c r="CY225" s="34"/>
      <c r="CZ225" s="34"/>
      <c r="DA225" s="34"/>
      <c r="DB225" s="34"/>
      <c r="DC225" s="34"/>
      <c r="DD225" s="34"/>
      <c r="DE225" s="34"/>
      <c r="DF225" s="34"/>
      <c r="DG225" s="34"/>
      <c r="DH225" s="34"/>
      <c r="DI225" s="34"/>
      <c r="DJ225" s="34"/>
    </row>
    <row r="226" spans="1:9" ht="20.25" customHeight="1">
      <c r="A226" s="68" t="s">
        <v>25</v>
      </c>
      <c r="B226" s="68"/>
      <c r="C226" s="26"/>
      <c r="D226" s="91"/>
      <c r="E226" s="95"/>
      <c r="F226" s="24"/>
      <c r="G226" s="24" t="s">
        <v>84</v>
      </c>
      <c r="H226" s="13"/>
      <c r="I226" s="13"/>
    </row>
    <row r="227" spans="1:10" ht="26.25" customHeight="1">
      <c r="A227" s="26" t="s">
        <v>62</v>
      </c>
      <c r="B227" s="26"/>
      <c r="C227" s="26"/>
      <c r="D227" s="90"/>
      <c r="E227" s="93"/>
      <c r="F227" s="72"/>
      <c r="G227" s="72"/>
      <c r="H227" s="13"/>
      <c r="I227" s="47"/>
      <c r="J227" s="13" t="s">
        <v>60</v>
      </c>
    </row>
    <row r="228" spans="1:9" ht="20.25" customHeight="1">
      <c r="A228" s="26"/>
      <c r="B228" s="26"/>
      <c r="C228" s="26"/>
      <c r="D228" s="90"/>
      <c r="E228" s="93"/>
      <c r="F228" s="72"/>
      <c r="G228" s="72"/>
      <c r="H228" s="13"/>
      <c r="I228" s="13"/>
    </row>
    <row r="229" spans="1:9" ht="12" customHeight="1">
      <c r="A229" s="27"/>
      <c r="B229" s="27"/>
      <c r="C229" s="27"/>
      <c r="D229" s="92"/>
      <c r="E229" s="27"/>
      <c r="F229" s="13"/>
      <c r="G229" s="13"/>
      <c r="H229" s="13"/>
      <c r="I229" s="13"/>
    </row>
    <row r="230" spans="1:9" ht="15.75">
      <c r="A230" s="27"/>
      <c r="B230" s="27"/>
      <c r="C230" s="27"/>
      <c r="D230" s="92"/>
      <c r="E230" s="27"/>
      <c r="F230" s="13"/>
      <c r="G230" s="13"/>
      <c r="H230" s="13"/>
      <c r="I230" s="13"/>
    </row>
    <row r="231" spans="1:9" ht="15.75">
      <c r="A231" s="27"/>
      <c r="B231" s="27"/>
      <c r="C231" s="27"/>
      <c r="D231" s="92"/>
      <c r="E231" s="27"/>
      <c r="F231" s="13"/>
      <c r="G231" s="13"/>
      <c r="H231" s="13"/>
      <c r="I231" s="13"/>
    </row>
  </sheetData>
  <sheetProtection/>
  <mergeCells count="143">
    <mergeCell ref="G4:I4"/>
    <mergeCell ref="A5:I5"/>
    <mergeCell ref="A6:I6"/>
    <mergeCell ref="A7:I7"/>
    <mergeCell ref="A8:A11"/>
    <mergeCell ref="B8:E8"/>
    <mergeCell ref="F8:I8"/>
    <mergeCell ref="B9:C10"/>
    <mergeCell ref="D9:E10"/>
    <mergeCell ref="F9:G10"/>
    <mergeCell ref="H9:I10"/>
    <mergeCell ref="A12:A13"/>
    <mergeCell ref="B12:B13"/>
    <mergeCell ref="A15:A17"/>
    <mergeCell ref="B15:B17"/>
    <mergeCell ref="A19:A21"/>
    <mergeCell ref="B19:B20"/>
    <mergeCell ref="A22:A23"/>
    <mergeCell ref="B22:B23"/>
    <mergeCell ref="A25:A26"/>
    <mergeCell ref="B25:B26"/>
    <mergeCell ref="A28:A30"/>
    <mergeCell ref="B28:B30"/>
    <mergeCell ref="F28:F29"/>
    <mergeCell ref="G28:G29"/>
    <mergeCell ref="H28:H29"/>
    <mergeCell ref="I28:I29"/>
    <mergeCell ref="A32:A33"/>
    <mergeCell ref="B32:B33"/>
    <mergeCell ref="A35:A36"/>
    <mergeCell ref="B35:B36"/>
    <mergeCell ref="A38:A40"/>
    <mergeCell ref="B38:B40"/>
    <mergeCell ref="A42:A43"/>
    <mergeCell ref="B42:B43"/>
    <mergeCell ref="C42:C43"/>
    <mergeCell ref="A45:A46"/>
    <mergeCell ref="B45:B46"/>
    <mergeCell ref="A48:A50"/>
    <mergeCell ref="B48:B50"/>
    <mergeCell ref="A52:A53"/>
    <mergeCell ref="B52:B53"/>
    <mergeCell ref="C52:C53"/>
    <mergeCell ref="A55:A56"/>
    <mergeCell ref="B55:B56"/>
    <mergeCell ref="A58:A59"/>
    <mergeCell ref="B58:B59"/>
    <mergeCell ref="A61:A62"/>
    <mergeCell ref="B61:B62"/>
    <mergeCell ref="C61:C62"/>
    <mergeCell ref="A64:A65"/>
    <mergeCell ref="B64:B65"/>
    <mergeCell ref="A67:A68"/>
    <mergeCell ref="B67:B68"/>
    <mergeCell ref="A70:A71"/>
    <mergeCell ref="B70:B71"/>
    <mergeCell ref="A74:A81"/>
    <mergeCell ref="B74:B81"/>
    <mergeCell ref="A83:A86"/>
    <mergeCell ref="B83:B86"/>
    <mergeCell ref="F83:F86"/>
    <mergeCell ref="G83:G86"/>
    <mergeCell ref="A88:A89"/>
    <mergeCell ref="B88:B89"/>
    <mergeCell ref="F88:F89"/>
    <mergeCell ref="G88:G89"/>
    <mergeCell ref="A91:A94"/>
    <mergeCell ref="B91:B94"/>
    <mergeCell ref="F91:F94"/>
    <mergeCell ref="G91:G94"/>
    <mergeCell ref="A96:A103"/>
    <mergeCell ref="B96:B103"/>
    <mergeCell ref="F99:F103"/>
    <mergeCell ref="G99:G103"/>
    <mergeCell ref="A115:A120"/>
    <mergeCell ref="B115:B120"/>
    <mergeCell ref="F118:F120"/>
    <mergeCell ref="G118:G120"/>
    <mergeCell ref="A122:A123"/>
    <mergeCell ref="B122:B123"/>
    <mergeCell ref="F122:F123"/>
    <mergeCell ref="G122:G123"/>
    <mergeCell ref="A125:A130"/>
    <mergeCell ref="B125:B130"/>
    <mergeCell ref="F125:F130"/>
    <mergeCell ref="G125:G130"/>
    <mergeCell ref="A132:A141"/>
    <mergeCell ref="B132:B141"/>
    <mergeCell ref="F132:F141"/>
    <mergeCell ref="G132:G141"/>
    <mergeCell ref="A143:A147"/>
    <mergeCell ref="B143:B147"/>
    <mergeCell ref="F143:F147"/>
    <mergeCell ref="G143:G147"/>
    <mergeCell ref="A149:A153"/>
    <mergeCell ref="B149:B153"/>
    <mergeCell ref="F149:F153"/>
    <mergeCell ref="G149:G153"/>
    <mergeCell ref="A155:A156"/>
    <mergeCell ref="B155:B156"/>
    <mergeCell ref="A158:A159"/>
    <mergeCell ref="B158:B159"/>
    <mergeCell ref="F158:F159"/>
    <mergeCell ref="G158:G159"/>
    <mergeCell ref="A161:A165"/>
    <mergeCell ref="B161:B165"/>
    <mergeCell ref="F161:F165"/>
    <mergeCell ref="G161:G165"/>
    <mergeCell ref="A167:A172"/>
    <mergeCell ref="B167:B172"/>
    <mergeCell ref="F170:F172"/>
    <mergeCell ref="G170:G172"/>
    <mergeCell ref="A174:A176"/>
    <mergeCell ref="B174:B176"/>
    <mergeCell ref="C174:C175"/>
    <mergeCell ref="F174:F176"/>
    <mergeCell ref="G174:G176"/>
    <mergeCell ref="A178:A185"/>
    <mergeCell ref="B178:B185"/>
    <mergeCell ref="F180:F185"/>
    <mergeCell ref="G180:G185"/>
    <mergeCell ref="A187:A188"/>
    <mergeCell ref="B187:B188"/>
    <mergeCell ref="F187:F188"/>
    <mergeCell ref="G187:G188"/>
    <mergeCell ref="A190:A193"/>
    <mergeCell ref="B190:B193"/>
    <mergeCell ref="F190:F193"/>
    <mergeCell ref="G190:G193"/>
    <mergeCell ref="A195:A197"/>
    <mergeCell ref="B195:B197"/>
    <mergeCell ref="A199:A201"/>
    <mergeCell ref="B199:B201"/>
    <mergeCell ref="A203:A204"/>
    <mergeCell ref="B203:B204"/>
    <mergeCell ref="A206:A207"/>
    <mergeCell ref="B206:B207"/>
    <mergeCell ref="A209:A210"/>
    <mergeCell ref="B209:B210"/>
    <mergeCell ref="A214:A215"/>
    <mergeCell ref="B214:B215"/>
    <mergeCell ref="A217:A218"/>
    <mergeCell ref="B217:B218"/>
  </mergeCells>
  <printOptions/>
  <pageMargins left="0.31496062992125984" right="0.31496062992125984" top="0.35433070866141736" bottom="0.35433070866141736" header="0.31496062992125984" footer="0.31496062992125984"/>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DJ237"/>
  <sheetViews>
    <sheetView zoomScalePageLayoutView="0" workbookViewId="0" topLeftCell="A1">
      <selection activeCell="A1" sqref="A1:IV16384"/>
    </sheetView>
  </sheetViews>
  <sheetFormatPr defaultColWidth="25.7109375" defaultRowHeight="15"/>
  <cols>
    <col min="1" max="1" width="14.28125" style="28" customWidth="1"/>
    <col min="2" max="2" width="10.28125" style="28" customWidth="1"/>
    <col min="3" max="3" width="39.00390625" style="28" customWidth="1"/>
    <col min="4" max="4" width="14.57421875" style="73" customWidth="1"/>
    <col min="5" max="5" width="19.140625" style="28" customWidth="1"/>
    <col min="6" max="6" width="7.421875" style="1" customWidth="1"/>
    <col min="7" max="7" width="7.28125" style="1" customWidth="1"/>
    <col min="8" max="8" width="9.28125" style="1" customWidth="1"/>
    <col min="9" max="9" width="9.140625" style="1" customWidth="1"/>
    <col min="10" max="114" width="25.7109375" style="13" customWidth="1"/>
    <col min="115" max="16384" width="25.7109375" style="1" customWidth="1"/>
  </cols>
  <sheetData>
    <row r="1" spans="3:9" ht="18" customHeight="1">
      <c r="C1" s="28" t="s">
        <v>24</v>
      </c>
      <c r="F1" s="29" t="s">
        <v>49</v>
      </c>
      <c r="I1" s="29"/>
    </row>
    <row r="2" spans="6:9" ht="18" customHeight="1">
      <c r="F2" s="29" t="s">
        <v>45</v>
      </c>
      <c r="I2" s="29"/>
    </row>
    <row r="3" spans="6:9" ht="16.5" customHeight="1">
      <c r="F3" s="29" t="s">
        <v>46</v>
      </c>
      <c r="I3" s="29"/>
    </row>
    <row r="4" spans="7:9" ht="15.75">
      <c r="G4" s="297"/>
      <c r="H4" s="297"/>
      <c r="I4" s="297"/>
    </row>
    <row r="5" spans="1:9" ht="15.75">
      <c r="A5" s="298" t="s">
        <v>19</v>
      </c>
      <c r="B5" s="298"/>
      <c r="C5" s="298"/>
      <c r="D5" s="298"/>
      <c r="E5" s="298"/>
      <c r="F5" s="298"/>
      <c r="G5" s="298"/>
      <c r="H5" s="298"/>
      <c r="I5" s="298"/>
    </row>
    <row r="6" spans="1:9" ht="15.75">
      <c r="A6" s="298" t="s">
        <v>200</v>
      </c>
      <c r="B6" s="298"/>
      <c r="C6" s="298"/>
      <c r="D6" s="298"/>
      <c r="E6" s="298"/>
      <c r="F6" s="298"/>
      <c r="G6" s="298"/>
      <c r="H6" s="298"/>
      <c r="I6" s="298"/>
    </row>
    <row r="7" spans="1:9" ht="26.25" customHeight="1">
      <c r="A7" s="298" t="s">
        <v>20</v>
      </c>
      <c r="B7" s="298"/>
      <c r="C7" s="298"/>
      <c r="D7" s="298"/>
      <c r="E7" s="298"/>
      <c r="F7" s="298"/>
      <c r="G7" s="298"/>
      <c r="H7" s="298"/>
      <c r="I7" s="298"/>
    </row>
    <row r="8" spans="1:10" ht="30" customHeight="1">
      <c r="A8" s="299" t="s">
        <v>21</v>
      </c>
      <c r="B8" s="294" t="s">
        <v>0</v>
      </c>
      <c r="C8" s="294"/>
      <c r="D8" s="294"/>
      <c r="E8" s="294"/>
      <c r="F8" s="294" t="s">
        <v>1</v>
      </c>
      <c r="G8" s="294"/>
      <c r="H8" s="294"/>
      <c r="I8" s="294"/>
      <c r="J8" s="36"/>
    </row>
    <row r="9" spans="1:10" ht="13.5" customHeight="1">
      <c r="A9" s="299"/>
      <c r="B9" s="299" t="s">
        <v>2</v>
      </c>
      <c r="C9" s="299"/>
      <c r="D9" s="299" t="s">
        <v>18</v>
      </c>
      <c r="E9" s="299"/>
      <c r="F9" s="294" t="s">
        <v>2</v>
      </c>
      <c r="G9" s="294"/>
      <c r="H9" s="294" t="s">
        <v>3</v>
      </c>
      <c r="I9" s="295"/>
      <c r="J9" s="36"/>
    </row>
    <row r="10" spans="1:10" ht="22.5" customHeight="1">
      <c r="A10" s="299"/>
      <c r="B10" s="299"/>
      <c r="C10" s="299"/>
      <c r="D10" s="299"/>
      <c r="E10" s="299"/>
      <c r="F10" s="294"/>
      <c r="G10" s="294"/>
      <c r="H10" s="295"/>
      <c r="I10" s="295"/>
      <c r="J10" s="36"/>
    </row>
    <row r="11" spans="1:10" ht="51" customHeight="1">
      <c r="A11" s="299"/>
      <c r="B11" s="16" t="s">
        <v>17</v>
      </c>
      <c r="C11" s="16" t="s">
        <v>4</v>
      </c>
      <c r="D11" s="16" t="s">
        <v>17</v>
      </c>
      <c r="E11" s="16" t="s">
        <v>5</v>
      </c>
      <c r="F11" s="14" t="s">
        <v>17</v>
      </c>
      <c r="G11" s="14" t="s">
        <v>4</v>
      </c>
      <c r="H11" s="14" t="s">
        <v>17</v>
      </c>
      <c r="I11" s="14" t="s">
        <v>6</v>
      </c>
      <c r="J11" s="36"/>
    </row>
    <row r="12" spans="1:10" ht="80.25" customHeight="1">
      <c r="A12" s="277" t="s">
        <v>63</v>
      </c>
      <c r="B12" s="296"/>
      <c r="C12" s="152" t="s">
        <v>201</v>
      </c>
      <c r="D12" s="59">
        <v>60991.75</v>
      </c>
      <c r="E12" s="105" t="s">
        <v>87</v>
      </c>
      <c r="F12" s="37"/>
      <c r="G12" s="32"/>
      <c r="H12" s="38"/>
      <c r="I12" s="15"/>
      <c r="J12" s="36"/>
    </row>
    <row r="13" spans="1:10" ht="36" customHeight="1">
      <c r="A13" s="277"/>
      <c r="B13" s="296"/>
      <c r="C13" s="116" t="s">
        <v>203</v>
      </c>
      <c r="D13" s="59">
        <v>18</v>
      </c>
      <c r="E13" s="105" t="s">
        <v>202</v>
      </c>
      <c r="F13" s="37"/>
      <c r="G13" s="32"/>
      <c r="H13" s="38"/>
      <c r="I13" s="15"/>
      <c r="J13" s="36"/>
    </row>
    <row r="14" spans="1:10" ht="38.25" customHeight="1">
      <c r="A14" s="277"/>
      <c r="B14" s="296"/>
      <c r="C14" s="149" t="s">
        <v>176</v>
      </c>
      <c r="D14" s="60">
        <f>1460+3740+384</f>
        <v>5584</v>
      </c>
      <c r="E14" s="105" t="s">
        <v>175</v>
      </c>
      <c r="F14" s="37"/>
      <c r="G14" s="32"/>
      <c r="H14" s="38"/>
      <c r="I14" s="30"/>
      <c r="J14" s="36"/>
    </row>
    <row r="15" spans="1:114" s="46" customFormat="1" ht="20.25" customHeight="1">
      <c r="A15" s="153" t="s">
        <v>14</v>
      </c>
      <c r="B15" s="39">
        <f>SUM(B12:B14)</f>
        <v>0</v>
      </c>
      <c r="C15" s="2"/>
      <c r="D15" s="79">
        <f>SUM(D12:D14)</f>
        <v>66593.75</v>
      </c>
      <c r="E15" s="76"/>
      <c r="F15" s="40"/>
      <c r="G15" s="41"/>
      <c r="H15" s="42">
        <f>SUM(H12:H14)</f>
        <v>0</v>
      </c>
      <c r="I15" s="31"/>
      <c r="J15" s="43"/>
      <c r="K15" s="44"/>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row>
    <row r="16" spans="1:11" ht="96.75" customHeight="1">
      <c r="A16" s="277" t="s">
        <v>64</v>
      </c>
      <c r="B16" s="278">
        <v>10924</v>
      </c>
      <c r="C16" s="152" t="s">
        <v>204</v>
      </c>
      <c r="D16" s="60">
        <v>65451.19</v>
      </c>
      <c r="E16" s="105" t="s">
        <v>87</v>
      </c>
      <c r="F16" s="37"/>
      <c r="G16" s="32"/>
      <c r="H16" s="30"/>
      <c r="I16" s="15"/>
      <c r="J16" s="36"/>
      <c r="K16" s="47"/>
    </row>
    <row r="17" spans="1:11" ht="49.5" customHeight="1">
      <c r="A17" s="277"/>
      <c r="B17" s="279"/>
      <c r="C17" s="116" t="s">
        <v>177</v>
      </c>
      <c r="D17" s="60"/>
      <c r="E17" s="105"/>
      <c r="F17" s="37"/>
      <c r="G17" s="32"/>
      <c r="H17" s="30"/>
      <c r="I17" s="15"/>
      <c r="J17" s="36"/>
      <c r="K17" s="47"/>
    </row>
    <row r="18" spans="1:11" ht="35.25" customHeight="1">
      <c r="A18" s="277"/>
      <c r="B18" s="279"/>
      <c r="C18" s="116" t="s">
        <v>203</v>
      </c>
      <c r="D18" s="59">
        <v>18</v>
      </c>
      <c r="E18" s="105" t="s">
        <v>202</v>
      </c>
      <c r="F18" s="37"/>
      <c r="G18" s="32"/>
      <c r="H18" s="30"/>
      <c r="I18" s="15"/>
      <c r="J18" s="36"/>
      <c r="K18" s="47"/>
    </row>
    <row r="19" spans="1:11" ht="37.5" customHeight="1">
      <c r="A19" s="277"/>
      <c r="B19" s="280"/>
      <c r="C19" s="149" t="s">
        <v>176</v>
      </c>
      <c r="D19" s="60">
        <f>1733.75+4080+432</f>
        <v>6245.75</v>
      </c>
      <c r="E19" s="105" t="s">
        <v>175</v>
      </c>
      <c r="F19" s="37"/>
      <c r="G19" s="32"/>
      <c r="H19" s="30"/>
      <c r="I19" s="30"/>
      <c r="J19" s="36"/>
      <c r="K19" s="47"/>
    </row>
    <row r="20" spans="1:114" s="46" customFormat="1" ht="22.5" customHeight="1">
      <c r="A20" s="153" t="s">
        <v>14</v>
      </c>
      <c r="B20" s="39">
        <f>SUM(B16)</f>
        <v>10924</v>
      </c>
      <c r="C20" s="152"/>
      <c r="D20" s="64">
        <f>SUM(D16:D19)</f>
        <v>71714.94</v>
      </c>
      <c r="E20" s="76"/>
      <c r="F20" s="40"/>
      <c r="G20" s="41"/>
      <c r="H20" s="31">
        <f>SUM(H16:H19)</f>
        <v>0</v>
      </c>
      <c r="I20" s="31"/>
      <c r="J20" s="43"/>
      <c r="K20" s="4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row>
    <row r="21" spans="1:114" s="46" customFormat="1" ht="31.5" customHeight="1">
      <c r="A21" s="277" t="s">
        <v>65</v>
      </c>
      <c r="B21" s="278"/>
      <c r="C21" s="152" t="s">
        <v>197</v>
      </c>
      <c r="D21" s="16">
        <v>33070.22</v>
      </c>
      <c r="E21" s="105" t="s">
        <v>206</v>
      </c>
      <c r="F21" s="40"/>
      <c r="G21" s="41"/>
      <c r="H21" s="30"/>
      <c r="I21" s="15"/>
      <c r="J21" s="43"/>
      <c r="K21" s="44"/>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row>
    <row r="22" spans="1:114" s="46" customFormat="1" ht="31.5" customHeight="1">
      <c r="A22" s="277"/>
      <c r="B22" s="279"/>
      <c r="C22" s="116" t="s">
        <v>207</v>
      </c>
      <c r="D22" s="60">
        <v>9468.3</v>
      </c>
      <c r="E22" s="105" t="s">
        <v>87</v>
      </c>
      <c r="F22" s="40"/>
      <c r="G22" s="41"/>
      <c r="H22" s="30"/>
      <c r="I22" s="15"/>
      <c r="J22" s="43"/>
      <c r="K22" s="44"/>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row>
    <row r="23" spans="1:114" s="46" customFormat="1" ht="31.5" customHeight="1">
      <c r="A23" s="277"/>
      <c r="B23" s="280"/>
      <c r="C23" s="116" t="s">
        <v>203</v>
      </c>
      <c r="D23" s="59">
        <v>18</v>
      </c>
      <c r="E23" s="105" t="s">
        <v>202</v>
      </c>
      <c r="F23" s="40"/>
      <c r="G23" s="41"/>
      <c r="H23" s="30"/>
      <c r="I23" s="15"/>
      <c r="J23" s="43"/>
      <c r="K23" s="44"/>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row>
    <row r="24" spans="1:114" s="46" customFormat="1" ht="20.25" customHeight="1">
      <c r="A24" s="277"/>
      <c r="B24" s="39">
        <f>SUM(B21)</f>
        <v>0</v>
      </c>
      <c r="C24" s="116"/>
      <c r="D24" s="77">
        <f>SUM(D21:D23)</f>
        <v>42556.520000000004</v>
      </c>
      <c r="E24" s="76"/>
      <c r="F24" s="48">
        <f>F21</f>
        <v>0</v>
      </c>
      <c r="G24" s="41"/>
      <c r="H24" s="31">
        <f>SUM(H21:H21)</f>
        <v>0</v>
      </c>
      <c r="I24" s="31"/>
      <c r="J24" s="43"/>
      <c r="K24" s="44"/>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row>
    <row r="25" spans="1:11" ht="28.5" customHeight="1">
      <c r="A25" s="254" t="s">
        <v>66</v>
      </c>
      <c r="B25" s="278"/>
      <c r="C25" s="156" t="s">
        <v>208</v>
      </c>
      <c r="D25" s="60">
        <v>24.3</v>
      </c>
      <c r="E25" s="105" t="s">
        <v>87</v>
      </c>
      <c r="F25" s="37"/>
      <c r="G25" s="32"/>
      <c r="H25" s="30"/>
      <c r="I25" s="15"/>
      <c r="J25" s="36"/>
      <c r="K25" s="47"/>
    </row>
    <row r="26" spans="1:11" ht="18.75" customHeight="1">
      <c r="A26" s="255"/>
      <c r="B26" s="280"/>
      <c r="C26" s="157"/>
      <c r="D26" s="143"/>
      <c r="E26" s="122"/>
      <c r="F26" s="37"/>
      <c r="G26" s="32"/>
      <c r="H26" s="30"/>
      <c r="I26" s="30"/>
      <c r="J26" s="36"/>
      <c r="K26" s="47"/>
    </row>
    <row r="27" spans="1:114" s="46" customFormat="1" ht="25.5" customHeight="1">
      <c r="A27" s="153" t="s">
        <v>15</v>
      </c>
      <c r="B27" s="39">
        <f>B25</f>
        <v>0</v>
      </c>
      <c r="C27" s="2"/>
      <c r="D27" s="79">
        <f>D26+D25</f>
        <v>24.3</v>
      </c>
      <c r="E27" s="80"/>
      <c r="F27" s="40"/>
      <c r="G27" s="41"/>
      <c r="H27" s="31">
        <f>SUM(H25:H26)</f>
        <v>0</v>
      </c>
      <c r="I27" s="31"/>
      <c r="J27" s="43"/>
      <c r="K27" s="44"/>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row>
    <row r="28" spans="1:114" s="46" customFormat="1" ht="96.75" customHeight="1">
      <c r="A28" s="254" t="s">
        <v>67</v>
      </c>
      <c r="B28" s="278"/>
      <c r="C28" s="152" t="s">
        <v>204</v>
      </c>
      <c r="D28" s="59">
        <v>70702.76</v>
      </c>
      <c r="E28" s="105" t="s">
        <v>87</v>
      </c>
      <c r="F28" s="40"/>
      <c r="G28" s="41"/>
      <c r="H28" s="30"/>
      <c r="I28" s="15"/>
      <c r="J28" s="43"/>
      <c r="K28" s="4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row>
    <row r="29" spans="1:114" s="46" customFormat="1" ht="33" customHeight="1">
      <c r="A29" s="260"/>
      <c r="B29" s="279"/>
      <c r="C29" s="116" t="s">
        <v>203</v>
      </c>
      <c r="D29" s="59">
        <v>18</v>
      </c>
      <c r="E29" s="105" t="s">
        <v>202</v>
      </c>
      <c r="F29" s="40"/>
      <c r="G29" s="41"/>
      <c r="H29" s="30"/>
      <c r="I29" s="15"/>
      <c r="J29" s="43"/>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row>
    <row r="30" spans="1:11" ht="38.25" customHeight="1">
      <c r="A30" s="255"/>
      <c r="B30" s="280"/>
      <c r="C30" s="149" t="s">
        <v>176</v>
      </c>
      <c r="D30" s="60">
        <f>1898+3740+432</f>
        <v>6070</v>
      </c>
      <c r="E30" s="105" t="s">
        <v>175</v>
      </c>
      <c r="F30" s="37"/>
      <c r="G30" s="32"/>
      <c r="H30" s="38"/>
      <c r="I30" s="32"/>
      <c r="J30" s="36"/>
      <c r="K30" s="47"/>
    </row>
    <row r="31" spans="1:114" s="46" customFormat="1" ht="19.5" customHeight="1">
      <c r="A31" s="153" t="s">
        <v>15</v>
      </c>
      <c r="B31" s="39">
        <f>B28</f>
        <v>0</v>
      </c>
      <c r="C31" s="152"/>
      <c r="D31" s="79">
        <f>SUM(D28:D30)</f>
        <v>76790.76</v>
      </c>
      <c r="E31" s="80"/>
      <c r="F31" s="40"/>
      <c r="G31" s="41"/>
      <c r="H31" s="42">
        <f>SUM(H28:H30)</f>
        <v>0</v>
      </c>
      <c r="I31" s="31"/>
      <c r="J31" s="43"/>
      <c r="K31" s="44"/>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row>
    <row r="32" spans="1:114" s="46" customFormat="1" ht="80.25" customHeight="1">
      <c r="A32" s="254" t="s">
        <v>68</v>
      </c>
      <c r="B32" s="278"/>
      <c r="C32" s="173" t="s">
        <v>204</v>
      </c>
      <c r="D32" s="59">
        <v>85389.43</v>
      </c>
      <c r="E32" s="105" t="s">
        <v>87</v>
      </c>
      <c r="F32" s="292"/>
      <c r="G32" s="293"/>
      <c r="H32" s="294"/>
      <c r="I32" s="294"/>
      <c r="J32" s="43"/>
      <c r="K32" s="44"/>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row>
    <row r="33" spans="1:114" s="46" customFormat="1" ht="39.75" customHeight="1">
      <c r="A33" s="260"/>
      <c r="B33" s="279"/>
      <c r="C33" s="149" t="s">
        <v>176</v>
      </c>
      <c r="D33" s="60">
        <f>1952.75+5100+432</f>
        <v>7484.75</v>
      </c>
      <c r="E33" s="105" t="s">
        <v>175</v>
      </c>
      <c r="F33" s="292"/>
      <c r="G33" s="293"/>
      <c r="H33" s="294"/>
      <c r="I33" s="294"/>
      <c r="J33" s="43"/>
      <c r="K33" s="4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row>
    <row r="34" spans="1:114" s="46" customFormat="1" ht="29.25" customHeight="1">
      <c r="A34" s="255"/>
      <c r="B34" s="280"/>
      <c r="C34" s="116" t="s">
        <v>203</v>
      </c>
      <c r="D34" s="59">
        <v>20</v>
      </c>
      <c r="E34" s="105" t="s">
        <v>202</v>
      </c>
      <c r="F34" s="6"/>
      <c r="G34" s="41"/>
      <c r="H34" s="33"/>
      <c r="I34" s="33"/>
      <c r="J34" s="43"/>
      <c r="K34" s="4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row>
    <row r="35" spans="1:114" s="46" customFormat="1" ht="22.5" customHeight="1">
      <c r="A35" s="153" t="s">
        <v>15</v>
      </c>
      <c r="B35" s="39">
        <f>SUM(B32:B33)</f>
        <v>0</v>
      </c>
      <c r="C35" s="159"/>
      <c r="D35" s="79">
        <f>SUM(D32:D34)</f>
        <v>92894.18</v>
      </c>
      <c r="E35" s="80"/>
      <c r="F35" s="50"/>
      <c r="G35" s="41"/>
      <c r="H35" s="33">
        <f>SUM(H32:H34)</f>
        <v>0</v>
      </c>
      <c r="I35" s="33"/>
      <c r="J35" s="43"/>
      <c r="K35" s="44"/>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row>
    <row r="36" spans="1:11" ht="27.75" customHeight="1">
      <c r="A36" s="254" t="s">
        <v>69</v>
      </c>
      <c r="B36" s="278"/>
      <c r="C36" s="116" t="s">
        <v>203</v>
      </c>
      <c r="D36" s="59">
        <v>18</v>
      </c>
      <c r="E36" s="105" t="s">
        <v>202</v>
      </c>
      <c r="F36" s="6"/>
      <c r="G36" s="32"/>
      <c r="H36" s="14"/>
      <c r="I36" s="14"/>
      <c r="J36" s="36"/>
      <c r="K36" s="47"/>
    </row>
    <row r="37" spans="1:11" ht="27.75" customHeight="1">
      <c r="A37" s="255"/>
      <c r="B37" s="280"/>
      <c r="C37" s="116" t="s">
        <v>208</v>
      </c>
      <c r="D37" s="60">
        <v>24.3</v>
      </c>
      <c r="E37" s="105" t="s">
        <v>87</v>
      </c>
      <c r="F37" s="6"/>
      <c r="G37" s="32"/>
      <c r="H37" s="14"/>
      <c r="I37" s="14"/>
      <c r="J37" s="36"/>
      <c r="K37" s="47"/>
    </row>
    <row r="38" spans="1:114" s="46" customFormat="1" ht="24" customHeight="1">
      <c r="A38" s="160" t="s">
        <v>15</v>
      </c>
      <c r="B38" s="39">
        <f>SUM(B36)</f>
        <v>0</v>
      </c>
      <c r="C38" s="159"/>
      <c r="D38" s="23">
        <f>SUM(D36:D37)</f>
        <v>42.3</v>
      </c>
      <c r="E38" s="139"/>
      <c r="F38" s="10"/>
      <c r="G38" s="41"/>
      <c r="H38" s="33">
        <f>SUM(H36:H37)</f>
        <v>0</v>
      </c>
      <c r="I38" s="33"/>
      <c r="J38" s="43"/>
      <c r="K38" s="44"/>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row>
    <row r="39" spans="1:114" s="46" customFormat="1" ht="48.75" customHeight="1">
      <c r="A39" s="254" t="s">
        <v>70</v>
      </c>
      <c r="B39" s="278"/>
      <c r="C39" s="152" t="s">
        <v>209</v>
      </c>
      <c r="D39" s="60">
        <v>55744.63</v>
      </c>
      <c r="E39" s="105" t="s">
        <v>87</v>
      </c>
      <c r="F39" s="10"/>
      <c r="G39" s="41"/>
      <c r="H39" s="33"/>
      <c r="I39" s="33"/>
      <c r="J39" s="43"/>
      <c r="K39" s="44"/>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row>
    <row r="40" spans="1:10" ht="29.25" customHeight="1">
      <c r="A40" s="255"/>
      <c r="B40" s="280"/>
      <c r="C40" s="116" t="s">
        <v>203</v>
      </c>
      <c r="D40" s="59">
        <v>18</v>
      </c>
      <c r="E40" s="105" t="s">
        <v>202</v>
      </c>
      <c r="F40" s="51"/>
      <c r="G40" s="32"/>
      <c r="H40" s="14"/>
      <c r="I40" s="14"/>
      <c r="J40" s="36"/>
    </row>
    <row r="41" spans="1:114" s="46" customFormat="1" ht="27.75" customHeight="1">
      <c r="A41" s="153" t="s">
        <v>15</v>
      </c>
      <c r="B41" s="39">
        <f>SUM(B39:B40)</f>
        <v>0</v>
      </c>
      <c r="C41" s="2"/>
      <c r="D41" s="23">
        <f>SUM(D39:D40)</f>
        <v>55762.63</v>
      </c>
      <c r="E41" s="82"/>
      <c r="F41" s="50"/>
      <c r="G41" s="41"/>
      <c r="H41" s="33">
        <f>SUM(H40:H40)</f>
        <v>0</v>
      </c>
      <c r="I41" s="33"/>
      <c r="J41" s="43"/>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row>
    <row r="42" spans="1:10" ht="81" customHeight="1">
      <c r="A42" s="254" t="s">
        <v>71</v>
      </c>
      <c r="B42" s="278"/>
      <c r="C42" s="173" t="s">
        <v>204</v>
      </c>
      <c r="D42" s="60">
        <v>80671.88</v>
      </c>
      <c r="E42" s="125" t="s">
        <v>87</v>
      </c>
      <c r="F42" s="51"/>
      <c r="G42" s="32"/>
      <c r="H42" s="14"/>
      <c r="I42" s="14"/>
      <c r="J42" s="36"/>
    </row>
    <row r="43" spans="1:10" ht="29.25" customHeight="1">
      <c r="A43" s="260"/>
      <c r="B43" s="279"/>
      <c r="C43" s="116" t="s">
        <v>203</v>
      </c>
      <c r="D43" s="59">
        <v>18</v>
      </c>
      <c r="E43" s="105" t="s">
        <v>202</v>
      </c>
      <c r="F43" s="51"/>
      <c r="G43" s="32"/>
      <c r="H43" s="14"/>
      <c r="I43" s="14"/>
      <c r="J43" s="36"/>
    </row>
    <row r="44" spans="1:10" ht="41.25" customHeight="1">
      <c r="A44" s="255"/>
      <c r="B44" s="280"/>
      <c r="C44" s="149" t="s">
        <v>176</v>
      </c>
      <c r="D44" s="60">
        <f>1952.75+5100+432</f>
        <v>7484.75</v>
      </c>
      <c r="E44" s="105" t="s">
        <v>175</v>
      </c>
      <c r="F44" s="51"/>
      <c r="G44" s="32"/>
      <c r="H44" s="14"/>
      <c r="I44" s="14"/>
      <c r="J44" s="36"/>
    </row>
    <row r="45" spans="1:114" s="46" customFormat="1" ht="27" customHeight="1">
      <c r="A45" s="153" t="s">
        <v>15</v>
      </c>
      <c r="B45" s="39">
        <f>SUM(B42:B43)</f>
        <v>0</v>
      </c>
      <c r="C45" s="116"/>
      <c r="D45" s="23">
        <f>SUM(D42:D44)</f>
        <v>88174.63</v>
      </c>
      <c r="E45" s="82"/>
      <c r="F45" s="50"/>
      <c r="G45" s="41"/>
      <c r="H45" s="33">
        <f>H42</f>
        <v>0</v>
      </c>
      <c r="I45" s="33"/>
      <c r="J45" s="43"/>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row>
    <row r="46" spans="1:114" s="46" customFormat="1" ht="30" customHeight="1">
      <c r="A46" s="254" t="s">
        <v>7</v>
      </c>
      <c r="B46" s="278"/>
      <c r="C46" s="152" t="s">
        <v>210</v>
      </c>
      <c r="D46" s="60">
        <v>4746.3</v>
      </c>
      <c r="E46" s="105" t="s">
        <v>87</v>
      </c>
      <c r="F46" s="50"/>
      <c r="G46" s="41"/>
      <c r="H46" s="14"/>
      <c r="I46" s="14"/>
      <c r="J46" s="43"/>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row>
    <row r="47" spans="1:10" ht="18" customHeight="1">
      <c r="A47" s="255"/>
      <c r="B47" s="280"/>
      <c r="C47" s="152"/>
      <c r="D47" s="60"/>
      <c r="E47" s="105"/>
      <c r="F47" s="6"/>
      <c r="G47" s="32"/>
      <c r="H47" s="14"/>
      <c r="I47" s="14"/>
      <c r="J47" s="36"/>
    </row>
    <row r="48" spans="1:114" s="46" customFormat="1" ht="23.25" customHeight="1">
      <c r="A48" s="153" t="s">
        <v>15</v>
      </c>
      <c r="B48" s="39">
        <f>SUM(B46)</f>
        <v>0</v>
      </c>
      <c r="C48" s="152"/>
      <c r="D48" s="22">
        <f>D47+D46</f>
        <v>4746.3</v>
      </c>
      <c r="E48" s="60"/>
      <c r="F48" s="50"/>
      <c r="G48" s="41"/>
      <c r="H48" s="33">
        <f>SUM(H46:H47)</f>
        <v>0</v>
      </c>
      <c r="I48" s="33"/>
      <c r="J48" s="43"/>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row>
    <row r="49" spans="1:114" s="46" customFormat="1" ht="26.25" customHeight="1">
      <c r="A49" s="254" t="s">
        <v>16</v>
      </c>
      <c r="B49" s="278"/>
      <c r="C49" s="159" t="s">
        <v>208</v>
      </c>
      <c r="D49" s="60">
        <v>24.3</v>
      </c>
      <c r="E49" s="105" t="s">
        <v>87</v>
      </c>
      <c r="F49" s="50"/>
      <c r="G49" s="41"/>
      <c r="H49" s="14"/>
      <c r="I49" s="14"/>
      <c r="J49" s="43"/>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row>
    <row r="50" spans="1:10" ht="16.5" customHeight="1">
      <c r="A50" s="255"/>
      <c r="B50" s="280"/>
      <c r="C50" s="159"/>
      <c r="D50" s="78"/>
      <c r="E50" s="59"/>
      <c r="F50" s="6"/>
      <c r="G50" s="32"/>
      <c r="H50" s="14"/>
      <c r="I50" s="14"/>
      <c r="J50" s="36"/>
    </row>
    <row r="51" spans="1:114" s="46" customFormat="1" ht="27.75" customHeight="1">
      <c r="A51" s="153" t="s">
        <v>15</v>
      </c>
      <c r="B51" s="39">
        <f>SUM(B49:B49)</f>
        <v>0</v>
      </c>
      <c r="C51" s="161"/>
      <c r="D51" s="23">
        <f>D50+D49</f>
        <v>24.3</v>
      </c>
      <c r="E51" s="82"/>
      <c r="F51" s="50"/>
      <c r="G51" s="41"/>
      <c r="H51" s="33">
        <f>SUM(H49:H50)</f>
        <v>0</v>
      </c>
      <c r="I51" s="33"/>
      <c r="J51" s="43"/>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row>
    <row r="52" spans="1:114" s="46" customFormat="1" ht="153" customHeight="1">
      <c r="A52" s="254" t="s">
        <v>8</v>
      </c>
      <c r="B52" s="278">
        <f>20400+19370</f>
        <v>39770</v>
      </c>
      <c r="C52" s="162" t="s">
        <v>114</v>
      </c>
      <c r="D52" s="60"/>
      <c r="E52" s="59"/>
      <c r="F52" s="50"/>
      <c r="G52" s="41"/>
      <c r="H52" s="33"/>
      <c r="I52" s="33"/>
      <c r="J52" s="43"/>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row>
    <row r="53" spans="1:114" s="46" customFormat="1" ht="79.5" customHeight="1">
      <c r="A53" s="260"/>
      <c r="B53" s="279"/>
      <c r="C53" s="173" t="s">
        <v>204</v>
      </c>
      <c r="D53" s="59">
        <v>75682.87</v>
      </c>
      <c r="E53" s="105" t="s">
        <v>87</v>
      </c>
      <c r="F53" s="50"/>
      <c r="G53" s="41"/>
      <c r="H53" s="33"/>
      <c r="I53" s="33"/>
      <c r="J53" s="43"/>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row>
    <row r="54" spans="1:114" s="46" customFormat="1" ht="27" customHeight="1">
      <c r="A54" s="260"/>
      <c r="B54" s="279"/>
      <c r="C54" s="159" t="s">
        <v>208</v>
      </c>
      <c r="D54" s="60">
        <v>18</v>
      </c>
      <c r="E54" s="105" t="s">
        <v>87</v>
      </c>
      <c r="F54" s="50"/>
      <c r="G54" s="41"/>
      <c r="H54" s="33"/>
      <c r="I54" s="33"/>
      <c r="J54" s="43"/>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row>
    <row r="55" spans="1:10" ht="36.75" customHeight="1">
      <c r="A55" s="255"/>
      <c r="B55" s="280"/>
      <c r="C55" s="149" t="s">
        <v>176</v>
      </c>
      <c r="D55" s="60">
        <f>1825+4080+384</f>
        <v>6289</v>
      </c>
      <c r="E55" s="105" t="s">
        <v>175</v>
      </c>
      <c r="F55" s="5"/>
      <c r="G55" s="32"/>
      <c r="H55" s="14"/>
      <c r="I55" s="14"/>
      <c r="J55" s="36"/>
    </row>
    <row r="56" spans="1:114" s="46" customFormat="1" ht="31.5" customHeight="1">
      <c r="A56" s="153" t="s">
        <v>15</v>
      </c>
      <c r="B56" s="39">
        <f>SUM(B52)</f>
        <v>39770</v>
      </c>
      <c r="C56" s="152"/>
      <c r="D56" s="22">
        <f>SUM(D52:D55)</f>
        <v>81989.87</v>
      </c>
      <c r="E56" s="82"/>
      <c r="F56" s="50"/>
      <c r="G56" s="41"/>
      <c r="H56" s="33">
        <f>SUM(H53:H55)</f>
        <v>0</v>
      </c>
      <c r="I56" s="33"/>
      <c r="J56" s="43"/>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row>
    <row r="57" spans="1:114" s="46" customFormat="1" ht="31.5" customHeight="1">
      <c r="A57" s="254" t="s">
        <v>9</v>
      </c>
      <c r="B57" s="278">
        <v>8000</v>
      </c>
      <c r="C57" s="154" t="s">
        <v>115</v>
      </c>
      <c r="D57" s="59"/>
      <c r="E57" s="74"/>
      <c r="F57" s="50"/>
      <c r="G57" s="41"/>
      <c r="H57" s="33"/>
      <c r="I57" s="33"/>
      <c r="J57" s="43"/>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row>
    <row r="58" spans="1:10" ht="32.25" customHeight="1">
      <c r="A58" s="255"/>
      <c r="B58" s="280"/>
      <c r="C58" s="152" t="s">
        <v>205</v>
      </c>
      <c r="D58" s="60">
        <v>9468.3</v>
      </c>
      <c r="E58" s="105" t="s">
        <v>87</v>
      </c>
      <c r="F58" s="5"/>
      <c r="G58" s="32"/>
      <c r="H58" s="12"/>
      <c r="I58" s="14"/>
      <c r="J58" s="36"/>
    </row>
    <row r="59" spans="1:114" s="46" customFormat="1" ht="19.5" customHeight="1">
      <c r="A59" s="153" t="s">
        <v>15</v>
      </c>
      <c r="B59" s="39">
        <f>B57</f>
        <v>8000</v>
      </c>
      <c r="C59" s="159"/>
      <c r="D59" s="22">
        <f>D58+D57</f>
        <v>9468.3</v>
      </c>
      <c r="E59" s="82"/>
      <c r="F59" s="50">
        <f>F58</f>
        <v>0</v>
      </c>
      <c r="G59" s="41"/>
      <c r="H59" s="33">
        <f>SUM(H57:H58)</f>
        <v>0</v>
      </c>
      <c r="I59" s="33"/>
      <c r="J59" s="43"/>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row>
    <row r="60" spans="1:114" s="46" customFormat="1" ht="32.25" customHeight="1">
      <c r="A60" s="254" t="s">
        <v>10</v>
      </c>
      <c r="B60" s="278"/>
      <c r="C60" s="152" t="s">
        <v>205</v>
      </c>
      <c r="D60" s="60">
        <v>4746.3</v>
      </c>
      <c r="E60" s="105" t="s">
        <v>87</v>
      </c>
      <c r="F60" s="50"/>
      <c r="G60" s="41"/>
      <c r="H60" s="33"/>
      <c r="I60" s="33"/>
      <c r="J60" s="43"/>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row>
    <row r="61" spans="1:10" ht="23.25" customHeight="1">
      <c r="A61" s="255"/>
      <c r="B61" s="280"/>
      <c r="C61" s="116"/>
      <c r="D61" s="16"/>
      <c r="E61" s="59"/>
      <c r="F61" s="5"/>
      <c r="G61" s="32"/>
      <c r="H61" s="14"/>
      <c r="I61" s="14"/>
      <c r="J61" s="36"/>
    </row>
    <row r="62" spans="1:114" s="46" customFormat="1" ht="21.75" customHeight="1">
      <c r="A62" s="153" t="s">
        <v>15</v>
      </c>
      <c r="B62" s="39">
        <f>SUM(B60:B60)</f>
        <v>0</v>
      </c>
      <c r="C62" s="152"/>
      <c r="D62" s="22">
        <f>D61+D60</f>
        <v>4746.3</v>
      </c>
      <c r="E62" s="60"/>
      <c r="F62" s="50"/>
      <c r="G62" s="41"/>
      <c r="H62" s="33">
        <f>SUM(H60:H61)</f>
        <v>0</v>
      </c>
      <c r="I62" s="33"/>
      <c r="J62" s="43"/>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row>
    <row r="63" spans="1:114" s="46" customFormat="1" ht="24" customHeight="1">
      <c r="A63" s="254" t="s">
        <v>11</v>
      </c>
      <c r="B63" s="278"/>
      <c r="C63" s="152" t="s">
        <v>211</v>
      </c>
      <c r="D63" s="60">
        <v>24.3</v>
      </c>
      <c r="E63" s="105" t="s">
        <v>87</v>
      </c>
      <c r="F63" s="5"/>
      <c r="G63" s="32"/>
      <c r="H63" s="14"/>
      <c r="I63" s="14"/>
      <c r="J63" s="43"/>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row>
    <row r="64" spans="1:10" ht="23.25" customHeight="1">
      <c r="A64" s="255"/>
      <c r="B64" s="280"/>
      <c r="C64" s="116"/>
      <c r="D64" s="16"/>
      <c r="E64" s="59"/>
      <c r="F64" s="5"/>
      <c r="G64" s="32"/>
      <c r="H64" s="14"/>
      <c r="I64" s="14"/>
      <c r="J64" s="36"/>
    </row>
    <row r="65" spans="1:114" s="46" customFormat="1" ht="23.25" customHeight="1">
      <c r="A65" s="153" t="s">
        <v>15</v>
      </c>
      <c r="B65" s="52">
        <f>SUM(B63:B63)</f>
        <v>0</v>
      </c>
      <c r="C65" s="116"/>
      <c r="D65" s="22">
        <f>D64+D63</f>
        <v>24.3</v>
      </c>
      <c r="E65" s="60"/>
      <c r="F65" s="50">
        <f>F64+F63</f>
        <v>0</v>
      </c>
      <c r="G65" s="41"/>
      <c r="H65" s="33">
        <f>SUM(H63:H64)</f>
        <v>0</v>
      </c>
      <c r="I65" s="33"/>
      <c r="J65" s="43"/>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row>
    <row r="66" spans="1:114" s="46" customFormat="1" ht="28.5" customHeight="1">
      <c r="A66" s="254" t="s">
        <v>12</v>
      </c>
      <c r="B66" s="278"/>
      <c r="C66" s="152" t="s">
        <v>211</v>
      </c>
      <c r="D66" s="60">
        <v>24.3</v>
      </c>
      <c r="E66" s="105" t="s">
        <v>87</v>
      </c>
      <c r="F66" s="50"/>
      <c r="G66" s="41"/>
      <c r="H66" s="33"/>
      <c r="I66" s="33"/>
      <c r="J66" s="43"/>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row>
    <row r="67" spans="1:10" ht="18" customHeight="1">
      <c r="A67" s="255"/>
      <c r="B67" s="280"/>
      <c r="C67" s="152"/>
      <c r="D67" s="60"/>
      <c r="E67" s="105"/>
      <c r="F67" s="5"/>
      <c r="G67" s="32"/>
      <c r="H67" s="14"/>
      <c r="I67" s="14"/>
      <c r="J67" s="36"/>
    </row>
    <row r="68" spans="1:114" s="46" customFormat="1" ht="24.75" customHeight="1">
      <c r="A68" s="153" t="s">
        <v>15</v>
      </c>
      <c r="B68" s="39">
        <f>SUM(B66:B66)</f>
        <v>0</v>
      </c>
      <c r="C68" s="116"/>
      <c r="D68" s="22">
        <f>D67+D66</f>
        <v>24.3</v>
      </c>
      <c r="E68" s="82"/>
      <c r="F68" s="50"/>
      <c r="G68" s="41"/>
      <c r="H68" s="33">
        <f>SUM(H66:H67)</f>
        <v>0</v>
      </c>
      <c r="I68" s="33"/>
      <c r="J68" s="43"/>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row>
    <row r="69" spans="1:114" s="46" customFormat="1" ht="83.25" customHeight="1">
      <c r="A69" s="254" t="s">
        <v>13</v>
      </c>
      <c r="B69" s="278"/>
      <c r="C69" s="152" t="s">
        <v>201</v>
      </c>
      <c r="D69" s="59">
        <v>65980.76</v>
      </c>
      <c r="E69" s="105" t="s">
        <v>87</v>
      </c>
      <c r="F69" s="50"/>
      <c r="G69" s="41"/>
      <c r="H69" s="14"/>
      <c r="I69" s="14"/>
      <c r="J69" s="43"/>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row>
    <row r="70" spans="1:114" s="46" customFormat="1" ht="33.75" customHeight="1">
      <c r="A70" s="260"/>
      <c r="B70" s="279"/>
      <c r="C70" s="116" t="s">
        <v>203</v>
      </c>
      <c r="D70" s="59">
        <v>18</v>
      </c>
      <c r="E70" s="105" t="s">
        <v>202</v>
      </c>
      <c r="F70" s="50"/>
      <c r="G70" s="41"/>
      <c r="H70" s="14"/>
      <c r="I70" s="14"/>
      <c r="J70" s="43"/>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row>
    <row r="71" spans="1:10" ht="37.5" customHeight="1">
      <c r="A71" s="255"/>
      <c r="B71" s="280"/>
      <c r="C71" s="149" t="s">
        <v>176</v>
      </c>
      <c r="D71" s="60">
        <f>1733.75+4080+432</f>
        <v>6245.75</v>
      </c>
      <c r="E71" s="105" t="s">
        <v>175</v>
      </c>
      <c r="F71" s="5"/>
      <c r="G71" s="32"/>
      <c r="H71" s="14"/>
      <c r="I71" s="14"/>
      <c r="J71" s="36"/>
    </row>
    <row r="72" spans="1:10" ht="21.75" customHeight="1">
      <c r="A72" s="153" t="s">
        <v>15</v>
      </c>
      <c r="B72" s="39">
        <f>SUM(B69:B69)</f>
        <v>0</v>
      </c>
      <c r="C72" s="116"/>
      <c r="D72" s="22">
        <f>SUM(D69:D71)</f>
        <v>72244.51</v>
      </c>
      <c r="E72" s="82"/>
      <c r="F72" s="50">
        <f>F71</f>
        <v>0</v>
      </c>
      <c r="G72" s="32"/>
      <c r="H72" s="33">
        <f>SUM(H69:H71)</f>
        <v>0</v>
      </c>
      <c r="I72" s="14"/>
      <c r="J72" s="36"/>
    </row>
    <row r="73" spans="1:10" s="56" customFormat="1" ht="27" customHeight="1">
      <c r="A73" s="258" t="s">
        <v>83</v>
      </c>
      <c r="B73" s="278"/>
      <c r="C73" s="116" t="s">
        <v>203</v>
      </c>
      <c r="D73" s="59">
        <v>18</v>
      </c>
      <c r="E73" s="105" t="s">
        <v>202</v>
      </c>
      <c r="F73" s="54"/>
      <c r="G73" s="4"/>
      <c r="H73" s="10"/>
      <c r="I73" s="11"/>
      <c r="J73" s="55"/>
    </row>
    <row r="74" spans="1:10" ht="24.75" customHeight="1">
      <c r="A74" s="259"/>
      <c r="B74" s="280"/>
      <c r="C74" s="152" t="s">
        <v>205</v>
      </c>
      <c r="D74" s="60">
        <v>4746.3</v>
      </c>
      <c r="E74" s="105" t="s">
        <v>87</v>
      </c>
      <c r="F74" s="5"/>
      <c r="G74" s="32"/>
      <c r="H74" s="14"/>
      <c r="I74" s="14"/>
      <c r="J74" s="43"/>
    </row>
    <row r="75" spans="1:114" s="46" customFormat="1" ht="18" customHeight="1">
      <c r="A75" s="153" t="s">
        <v>15</v>
      </c>
      <c r="B75" s="39">
        <f>SUM(B73:B73)</f>
        <v>0</v>
      </c>
      <c r="C75" s="116"/>
      <c r="D75" s="22">
        <f>SUM(D73:D74)</f>
        <v>4764.3</v>
      </c>
      <c r="E75" s="23"/>
      <c r="F75" s="50">
        <f>F74</f>
        <v>0</v>
      </c>
      <c r="G75" s="41"/>
      <c r="H75" s="9">
        <f>SUM(H73:H74)</f>
        <v>0</v>
      </c>
      <c r="I75" s="33"/>
      <c r="J75" s="43"/>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row>
    <row r="76" spans="1:114" s="46" customFormat="1" ht="29.25" customHeight="1">
      <c r="A76" s="258" t="s">
        <v>82</v>
      </c>
      <c r="B76" s="278"/>
      <c r="C76" s="152" t="s">
        <v>205</v>
      </c>
      <c r="D76" s="60">
        <v>4746.3</v>
      </c>
      <c r="E76" s="105" t="s">
        <v>87</v>
      </c>
      <c r="F76" s="50"/>
      <c r="G76" s="41"/>
      <c r="H76" s="14"/>
      <c r="I76" s="14"/>
      <c r="J76" s="43"/>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row>
    <row r="77" spans="1:10" ht="19.5" customHeight="1">
      <c r="A77" s="259"/>
      <c r="B77" s="280"/>
      <c r="C77" s="116"/>
      <c r="D77" s="59"/>
      <c r="E77" s="59"/>
      <c r="F77" s="5"/>
      <c r="G77" s="32"/>
      <c r="H77" s="33"/>
      <c r="I77" s="33"/>
      <c r="J77" s="43"/>
    </row>
    <row r="78" spans="1:114" s="46" customFormat="1" ht="30.75" customHeight="1">
      <c r="A78" s="153" t="s">
        <v>15</v>
      </c>
      <c r="B78" s="39">
        <f>SUM(B76:B76)</f>
        <v>0</v>
      </c>
      <c r="C78" s="116"/>
      <c r="D78" s="22">
        <f>SUM(D76:D77)</f>
        <v>4746.3</v>
      </c>
      <c r="E78" s="23"/>
      <c r="F78" s="50">
        <f>F77</f>
        <v>0</v>
      </c>
      <c r="G78" s="41"/>
      <c r="H78" s="33">
        <f>SUM(H76:H77)</f>
        <v>0</v>
      </c>
      <c r="I78" s="33"/>
      <c r="J78" s="43"/>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row>
    <row r="79" spans="1:114" s="46" customFormat="1" ht="30.75" customHeight="1">
      <c r="A79" s="163" t="s">
        <v>44</v>
      </c>
      <c r="B79" s="22">
        <f>B78+B75+B72+B68+B65+B62+B59+B56+B51+B48+B45+B41+B38+B35+B31+B27+B24+B20+B15</f>
        <v>58694</v>
      </c>
      <c r="C79" s="3"/>
      <c r="D79" s="22">
        <f>D78+D75+D72+D68+D65+D62+D59+D56+D51+D48+D45+D41+D38+D35+D31+D27+D24+D20+D15</f>
        <v>677332.79</v>
      </c>
      <c r="E79" s="23"/>
      <c r="F79" s="22">
        <f>F78+F75+F72+F68+F65+F62+F59+F56+F51+F48+F45+F41+F38+F35+F31+F27+F24+F20+F15</f>
        <v>0</v>
      </c>
      <c r="G79" s="4"/>
      <c r="H79" s="22">
        <f>H78+H75+H72+H68+H65+H62+H59+H56+H51+H48+H45+H41+H38+H35+H31+H27+H24+H20+H15</f>
        <v>0</v>
      </c>
      <c r="I79" s="120"/>
      <c r="J79" s="43"/>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row>
    <row r="80" spans="1:114" s="46" customFormat="1" ht="184.5" customHeight="1">
      <c r="A80" s="254" t="s">
        <v>72</v>
      </c>
      <c r="B80" s="278"/>
      <c r="C80" s="156" t="s">
        <v>212</v>
      </c>
      <c r="D80" s="122">
        <v>448611.18</v>
      </c>
      <c r="E80" s="105" t="s">
        <v>87</v>
      </c>
      <c r="F80" s="118"/>
      <c r="G80" s="119"/>
      <c r="H80" s="33"/>
      <c r="I80" s="120"/>
      <c r="J80" s="43"/>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row>
    <row r="81" spans="1:114" s="46" customFormat="1" ht="124.5" customHeight="1">
      <c r="A81" s="260"/>
      <c r="B81" s="279"/>
      <c r="C81" s="156" t="s">
        <v>90</v>
      </c>
      <c r="D81" s="122">
        <v>151722</v>
      </c>
      <c r="E81" s="105" t="s">
        <v>80</v>
      </c>
      <c r="F81" s="118"/>
      <c r="G81" s="119"/>
      <c r="H81" s="33"/>
      <c r="I81" s="120"/>
      <c r="J81" s="43"/>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row>
    <row r="82" spans="1:114" s="46" customFormat="1" ht="28.5" customHeight="1">
      <c r="A82" s="260"/>
      <c r="B82" s="279"/>
      <c r="C82" s="162" t="s">
        <v>81</v>
      </c>
      <c r="D82" s="144">
        <f>673.92</f>
        <v>673.92</v>
      </c>
      <c r="E82" s="105" t="s">
        <v>91</v>
      </c>
      <c r="F82" s="118"/>
      <c r="G82" s="119"/>
      <c r="H82" s="33"/>
      <c r="I82" s="120"/>
      <c r="J82" s="43"/>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row>
    <row r="83" spans="1:114" s="46" customFormat="1" ht="36.75" customHeight="1">
      <c r="A83" s="260"/>
      <c r="B83" s="279"/>
      <c r="C83" s="128" t="s">
        <v>81</v>
      </c>
      <c r="D83" s="109">
        <v>1280.45</v>
      </c>
      <c r="E83" s="59" t="s">
        <v>92</v>
      </c>
      <c r="F83" s="118"/>
      <c r="G83" s="119"/>
      <c r="H83" s="33"/>
      <c r="I83" s="120"/>
      <c r="J83" s="43"/>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row>
    <row r="84" spans="1:114" s="46" customFormat="1" ht="45.75" customHeight="1">
      <c r="A84" s="260"/>
      <c r="B84" s="279"/>
      <c r="C84" s="146" t="s">
        <v>150</v>
      </c>
      <c r="D84" s="109">
        <f>240+10525+10943</f>
        <v>21708</v>
      </c>
      <c r="E84" s="106" t="s">
        <v>131</v>
      </c>
      <c r="F84" s="5"/>
      <c r="G84" s="14"/>
      <c r="H84" s="12"/>
      <c r="I84" s="15"/>
      <c r="J84" s="43"/>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row>
    <row r="85" spans="1:114" s="46" customFormat="1" ht="173.25" customHeight="1">
      <c r="A85" s="260"/>
      <c r="B85" s="279"/>
      <c r="C85" s="146" t="s">
        <v>133</v>
      </c>
      <c r="D85" s="109">
        <f>57558.22+112102.29+36683.7</f>
        <v>206344.21000000002</v>
      </c>
      <c r="E85" s="106" t="s">
        <v>132</v>
      </c>
      <c r="F85" s="5"/>
      <c r="G85" s="14"/>
      <c r="H85" s="12"/>
      <c r="I85" s="15"/>
      <c r="J85" s="43"/>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row>
    <row r="86" spans="1:114" s="46" customFormat="1" ht="17.25" customHeight="1">
      <c r="A86" s="260"/>
      <c r="B86" s="279"/>
      <c r="C86" s="146" t="s">
        <v>26</v>
      </c>
      <c r="D86" s="109">
        <v>4880</v>
      </c>
      <c r="E86" s="106" t="s">
        <v>198</v>
      </c>
      <c r="F86" s="5"/>
      <c r="G86" s="14"/>
      <c r="H86" s="12"/>
      <c r="I86" s="15"/>
      <c r="J86" s="43"/>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row>
    <row r="87" spans="1:114" s="46" customFormat="1" ht="38.25" customHeight="1">
      <c r="A87" s="255"/>
      <c r="B87" s="280"/>
      <c r="C87" s="146" t="s">
        <v>149</v>
      </c>
      <c r="D87" s="122">
        <f>234344+134230.34</f>
        <v>368574.33999999997</v>
      </c>
      <c r="E87" s="106" t="s">
        <v>148</v>
      </c>
      <c r="F87" s="5"/>
      <c r="G87" s="14"/>
      <c r="H87" s="12"/>
      <c r="I87" s="15"/>
      <c r="J87" s="43"/>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row>
    <row r="88" spans="1:114" s="46" customFormat="1" ht="27.75" customHeight="1">
      <c r="A88" s="153" t="s">
        <v>15</v>
      </c>
      <c r="B88" s="39">
        <f>B80</f>
        <v>0</v>
      </c>
      <c r="C88" s="2"/>
      <c r="D88" s="22">
        <f>SUM(D80:D87)</f>
        <v>1203794.1</v>
      </c>
      <c r="E88" s="23"/>
      <c r="F88" s="50">
        <f>F87</f>
        <v>0</v>
      </c>
      <c r="G88" s="41"/>
      <c r="H88" s="9">
        <f>SUM(H84:H87)</f>
        <v>0</v>
      </c>
      <c r="I88" s="33"/>
      <c r="J88" s="43"/>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row>
    <row r="89" spans="1:114" s="46" customFormat="1" ht="48.75" customHeight="1">
      <c r="A89" s="254" t="s">
        <v>28</v>
      </c>
      <c r="B89" s="278"/>
      <c r="C89" s="21" t="s">
        <v>152</v>
      </c>
      <c r="D89" s="16">
        <v>450053.76</v>
      </c>
      <c r="E89" s="16" t="s">
        <v>151</v>
      </c>
      <c r="F89" s="288"/>
      <c r="G89" s="268"/>
      <c r="H89" s="9"/>
      <c r="I89" s="33"/>
      <c r="J89" s="43"/>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row>
    <row r="90" spans="1:114" s="46" customFormat="1" ht="22.5" customHeight="1">
      <c r="A90" s="260"/>
      <c r="B90" s="279"/>
      <c r="C90" s="21" t="s">
        <v>26</v>
      </c>
      <c r="D90" s="60">
        <v>6100</v>
      </c>
      <c r="E90" s="102" t="s">
        <v>198</v>
      </c>
      <c r="F90" s="289"/>
      <c r="G90" s="271"/>
      <c r="H90" s="9"/>
      <c r="I90" s="33"/>
      <c r="J90" s="43"/>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row>
    <row r="91" spans="1:114" s="46" customFormat="1" ht="45.75" customHeight="1">
      <c r="A91" s="260"/>
      <c r="B91" s="279"/>
      <c r="C91" s="150" t="s">
        <v>213</v>
      </c>
      <c r="D91" s="59">
        <v>223908.3</v>
      </c>
      <c r="E91" s="105" t="s">
        <v>87</v>
      </c>
      <c r="F91" s="289"/>
      <c r="G91" s="271"/>
      <c r="H91" s="14"/>
      <c r="I91" s="14"/>
      <c r="J91" s="43"/>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row>
    <row r="92" spans="1:9" ht="2.25" customHeight="1" hidden="1">
      <c r="A92" s="255"/>
      <c r="B92" s="280"/>
      <c r="C92" s="114"/>
      <c r="D92" s="59"/>
      <c r="E92" s="83"/>
      <c r="F92" s="290"/>
      <c r="G92" s="269"/>
      <c r="H92" s="57"/>
      <c r="I92" s="14"/>
    </row>
    <row r="93" spans="1:114" s="46" customFormat="1" ht="19.5" customHeight="1">
      <c r="A93" s="153" t="s">
        <v>15</v>
      </c>
      <c r="B93" s="39">
        <f>SUM(B89:B89)</f>
        <v>0</v>
      </c>
      <c r="C93" s="2"/>
      <c r="D93" s="101">
        <f>SUM(D89:D92)</f>
        <v>680062.06</v>
      </c>
      <c r="E93" s="84"/>
      <c r="F93" s="50">
        <f>F89</f>
        <v>0</v>
      </c>
      <c r="G93" s="41"/>
      <c r="H93" s="8">
        <f>SUM(H91:H92)</f>
        <v>0</v>
      </c>
      <c r="I93" s="33"/>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row>
    <row r="94" spans="1:114" s="46" customFormat="1" ht="100.5" customHeight="1">
      <c r="A94" s="254" t="s">
        <v>55</v>
      </c>
      <c r="B94" s="278"/>
      <c r="C94" s="152" t="s">
        <v>214</v>
      </c>
      <c r="D94" s="59">
        <v>277643.43</v>
      </c>
      <c r="E94" s="105" t="s">
        <v>87</v>
      </c>
      <c r="F94" s="288"/>
      <c r="G94" s="268"/>
      <c r="H94" s="8"/>
      <c r="I94" s="33"/>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row>
    <row r="95" spans="1:114" s="46" customFormat="1" ht="21.75" customHeight="1">
      <c r="A95" s="255"/>
      <c r="B95" s="280"/>
      <c r="C95" s="114" t="s">
        <v>199</v>
      </c>
      <c r="D95" s="59">
        <v>2440</v>
      </c>
      <c r="E95" s="102" t="s">
        <v>198</v>
      </c>
      <c r="F95" s="290"/>
      <c r="G95" s="269"/>
      <c r="H95" s="58"/>
      <c r="I95" s="58"/>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row>
    <row r="96" spans="1:114" s="46" customFormat="1" ht="26.25" customHeight="1">
      <c r="A96" s="153" t="s">
        <v>15</v>
      </c>
      <c r="B96" s="39">
        <f>SUM(B94:B95)</f>
        <v>0</v>
      </c>
      <c r="C96" s="3"/>
      <c r="D96" s="23">
        <f>SUM(D94:D95)</f>
        <v>280083.43</v>
      </c>
      <c r="E96" s="23"/>
      <c r="F96" s="10">
        <f>F94</f>
        <v>0</v>
      </c>
      <c r="G96" s="41"/>
      <c r="H96" s="8">
        <f>SUM(H94:H95)</f>
        <v>0</v>
      </c>
      <c r="I96" s="33"/>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row>
    <row r="97" spans="1:114" s="46" customFormat="1" ht="112.5" customHeight="1">
      <c r="A97" s="254" t="s">
        <v>54</v>
      </c>
      <c r="B97" s="284"/>
      <c r="C97" s="128" t="s">
        <v>215</v>
      </c>
      <c r="D97" s="60">
        <v>235420.3</v>
      </c>
      <c r="E97" s="105" t="s">
        <v>87</v>
      </c>
      <c r="F97" s="266"/>
      <c r="G97" s="268"/>
      <c r="H97" s="57"/>
      <c r="I97" s="14"/>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row>
    <row r="98" spans="1:114" s="46" customFormat="1" ht="23.25" customHeight="1">
      <c r="A98" s="260"/>
      <c r="B98" s="285"/>
      <c r="C98" s="136" t="s">
        <v>134</v>
      </c>
      <c r="D98" s="109">
        <v>4320</v>
      </c>
      <c r="E98" s="117" t="s">
        <v>136</v>
      </c>
      <c r="F98" s="270"/>
      <c r="G98" s="271"/>
      <c r="H98" s="57"/>
      <c r="I98" s="14"/>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row>
    <row r="99" spans="1:114" s="46" customFormat="1" ht="21.75" customHeight="1">
      <c r="A99" s="260"/>
      <c r="B99" s="285"/>
      <c r="C99" s="136" t="s">
        <v>26</v>
      </c>
      <c r="D99" s="109">
        <v>4270</v>
      </c>
      <c r="E99" s="102" t="s">
        <v>198</v>
      </c>
      <c r="F99" s="270"/>
      <c r="G99" s="271"/>
      <c r="H99" s="57"/>
      <c r="I99" s="14"/>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row>
    <row r="100" spans="1:114" s="46" customFormat="1" ht="42" customHeight="1">
      <c r="A100" s="255"/>
      <c r="B100" s="286"/>
      <c r="C100" s="128" t="s">
        <v>121</v>
      </c>
      <c r="D100" s="109">
        <f>6770+5607</f>
        <v>12377</v>
      </c>
      <c r="E100" s="59" t="s">
        <v>108</v>
      </c>
      <c r="F100" s="267"/>
      <c r="G100" s="269"/>
      <c r="H100" s="8"/>
      <c r="I100" s="33"/>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row>
    <row r="101" spans="1:114" s="46" customFormat="1" ht="24" customHeight="1">
      <c r="A101" s="153" t="s">
        <v>15</v>
      </c>
      <c r="B101" s="39">
        <f>SUM(B97:B100)</f>
        <v>0</v>
      </c>
      <c r="C101" s="3"/>
      <c r="D101" s="22">
        <f>SUM(D97:D100)</f>
        <v>256387.3</v>
      </c>
      <c r="E101" s="23"/>
      <c r="F101" s="10">
        <f>F97</f>
        <v>0</v>
      </c>
      <c r="G101" s="41"/>
      <c r="H101" s="8">
        <f>SUM(H97:H100)</f>
        <v>0</v>
      </c>
      <c r="I101" s="33"/>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row>
    <row r="102" spans="1:114" s="46" customFormat="1" ht="28.5" customHeight="1">
      <c r="A102" s="254" t="s">
        <v>73</v>
      </c>
      <c r="B102" s="278"/>
      <c r="C102" s="162" t="s">
        <v>81</v>
      </c>
      <c r="D102" s="144">
        <v>1979.64</v>
      </c>
      <c r="E102" s="105" t="s">
        <v>91</v>
      </c>
      <c r="F102" s="123"/>
      <c r="G102" s="119"/>
      <c r="H102" s="8"/>
      <c r="I102" s="33"/>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row>
    <row r="103" spans="1:114" s="46" customFormat="1" ht="26.25" customHeight="1">
      <c r="A103" s="260"/>
      <c r="B103" s="279"/>
      <c r="C103" s="128" t="s">
        <v>81</v>
      </c>
      <c r="D103" s="109">
        <v>1280.45</v>
      </c>
      <c r="E103" s="59" t="s">
        <v>92</v>
      </c>
      <c r="F103" s="123"/>
      <c r="G103" s="119"/>
      <c r="H103" s="8"/>
      <c r="I103" s="33"/>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row>
    <row r="104" spans="1:114" s="46" customFormat="1" ht="120" customHeight="1">
      <c r="A104" s="260"/>
      <c r="B104" s="279"/>
      <c r="C104" s="128" t="s">
        <v>219</v>
      </c>
      <c r="D104" s="109">
        <v>384775.88</v>
      </c>
      <c r="E104" s="105" t="s">
        <v>87</v>
      </c>
      <c r="F104" s="123"/>
      <c r="G104" s="119"/>
      <c r="H104" s="8"/>
      <c r="I104" s="33"/>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row>
    <row r="105" spans="1:9" ht="23.25" customHeight="1">
      <c r="A105" s="260"/>
      <c r="B105" s="279"/>
      <c r="C105" s="152" t="s">
        <v>29</v>
      </c>
      <c r="D105" s="109">
        <v>64487.68</v>
      </c>
      <c r="E105" s="109" t="s">
        <v>142</v>
      </c>
      <c r="F105" s="281"/>
      <c r="G105" s="268"/>
      <c r="H105" s="5"/>
      <c r="I105" s="14"/>
    </row>
    <row r="106" spans="1:9" ht="81.75" customHeight="1">
      <c r="A106" s="260"/>
      <c r="B106" s="279"/>
      <c r="C106" s="171" t="s">
        <v>154</v>
      </c>
      <c r="D106" s="82">
        <f>93980+22196.34+89605.8</f>
        <v>205782.14</v>
      </c>
      <c r="E106" s="171" t="s">
        <v>153</v>
      </c>
      <c r="F106" s="282"/>
      <c r="G106" s="271"/>
      <c r="H106" s="5"/>
      <c r="I106" s="14"/>
    </row>
    <row r="107" spans="1:9" ht="21.75" customHeight="1">
      <c r="A107" s="260"/>
      <c r="B107" s="279"/>
      <c r="C107" s="116" t="s">
        <v>155</v>
      </c>
      <c r="D107" s="82">
        <v>60</v>
      </c>
      <c r="E107" s="59" t="s">
        <v>108</v>
      </c>
      <c r="F107" s="282"/>
      <c r="G107" s="271"/>
      <c r="H107" s="5"/>
      <c r="I107" s="14"/>
    </row>
    <row r="108" spans="1:9" ht="15.75" customHeight="1">
      <c r="A108" s="260"/>
      <c r="B108" s="279"/>
      <c r="C108" s="152" t="s">
        <v>26</v>
      </c>
      <c r="D108" s="109">
        <v>4880</v>
      </c>
      <c r="E108" s="102" t="s">
        <v>198</v>
      </c>
      <c r="F108" s="282"/>
      <c r="G108" s="271"/>
      <c r="H108" s="5"/>
      <c r="I108" s="14"/>
    </row>
    <row r="109" spans="1:9" ht="15" customHeight="1">
      <c r="A109" s="255"/>
      <c r="B109" s="280"/>
      <c r="C109" s="152"/>
      <c r="D109" s="109"/>
      <c r="E109" s="100"/>
      <c r="F109" s="283"/>
      <c r="G109" s="269"/>
      <c r="H109" s="5"/>
      <c r="I109" s="14"/>
    </row>
    <row r="110" spans="1:114" s="46" customFormat="1" ht="22.5" customHeight="1">
      <c r="A110" s="153" t="s">
        <v>15</v>
      </c>
      <c r="B110" s="52">
        <f>SUM(B102:B102)</f>
        <v>0</v>
      </c>
      <c r="C110" s="152"/>
      <c r="D110" s="22">
        <f>SUM(D102:D109)</f>
        <v>663245.79</v>
      </c>
      <c r="E110" s="23"/>
      <c r="F110" s="10">
        <f>F105</f>
        <v>0</v>
      </c>
      <c r="G110" s="41"/>
      <c r="H110" s="50">
        <f>H105</f>
        <v>0</v>
      </c>
      <c r="I110" s="33"/>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row>
    <row r="111" spans="1:114" s="46" customFormat="1" ht="174.75" customHeight="1" hidden="1">
      <c r="A111" s="153" t="s">
        <v>15</v>
      </c>
      <c r="B111" s="39">
        <f>SUM(B102:B110)</f>
        <v>0</v>
      </c>
      <c r="C111" s="2"/>
      <c r="D111" s="23"/>
      <c r="E111" s="22"/>
      <c r="F111" s="9"/>
      <c r="G111" s="41"/>
      <c r="H111" s="8"/>
      <c r="I111" s="8"/>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row>
    <row r="112" spans="1:114" s="46" customFormat="1" ht="16.5" customHeight="1" hidden="1">
      <c r="A112" s="164" t="s">
        <v>27</v>
      </c>
      <c r="B112" s="62">
        <v>10999</v>
      </c>
      <c r="C112" s="152" t="s">
        <v>35</v>
      </c>
      <c r="D112" s="23"/>
      <c r="E112" s="22"/>
      <c r="F112" s="9"/>
      <c r="G112" s="41"/>
      <c r="H112" s="8"/>
      <c r="I112" s="8"/>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row>
    <row r="113" spans="1:9" ht="17.25" customHeight="1" hidden="1">
      <c r="A113" s="164" t="s">
        <v>27</v>
      </c>
      <c r="B113" s="62">
        <v>1219</v>
      </c>
      <c r="C113" s="152" t="s">
        <v>29</v>
      </c>
      <c r="D113" s="60"/>
      <c r="E113" s="22"/>
      <c r="F113" s="12"/>
      <c r="G113" s="32"/>
      <c r="H113" s="57"/>
      <c r="I113" s="14"/>
    </row>
    <row r="114" spans="1:114" s="46" customFormat="1" ht="16.5" customHeight="1" hidden="1">
      <c r="A114" s="153" t="s">
        <v>15</v>
      </c>
      <c r="B114" s="39">
        <f>SUM(B112:B113)</f>
        <v>12218</v>
      </c>
      <c r="C114" s="2"/>
      <c r="D114" s="23"/>
      <c r="E114" s="22"/>
      <c r="F114" s="9"/>
      <c r="G114" s="41"/>
      <c r="H114" s="8"/>
      <c r="I114" s="8"/>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row>
    <row r="115" spans="1:114" s="46" customFormat="1" ht="16.5" customHeight="1" hidden="1">
      <c r="A115" s="164" t="s">
        <v>22</v>
      </c>
      <c r="B115" s="59">
        <v>3133</v>
      </c>
      <c r="C115" s="152" t="s">
        <v>30</v>
      </c>
      <c r="D115" s="60"/>
      <c r="E115" s="22"/>
      <c r="F115" s="9"/>
      <c r="G115" s="41"/>
      <c r="H115" s="8"/>
      <c r="I115" s="8"/>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row>
    <row r="116" spans="1:114" s="46" customFormat="1" ht="18.75" customHeight="1" hidden="1">
      <c r="A116" s="164" t="s">
        <v>22</v>
      </c>
      <c r="B116" s="59">
        <v>120</v>
      </c>
      <c r="C116" s="152" t="s">
        <v>26</v>
      </c>
      <c r="D116" s="60"/>
      <c r="E116" s="22"/>
      <c r="F116" s="9"/>
      <c r="G116" s="41"/>
      <c r="H116" s="8"/>
      <c r="I116" s="8"/>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row>
    <row r="117" spans="1:114" s="46" customFormat="1" ht="18.75" customHeight="1" hidden="1">
      <c r="A117" s="164" t="s">
        <v>22</v>
      </c>
      <c r="B117" s="59">
        <v>210</v>
      </c>
      <c r="C117" s="152" t="s">
        <v>26</v>
      </c>
      <c r="D117" s="60"/>
      <c r="E117" s="22"/>
      <c r="F117" s="9"/>
      <c r="G117" s="41"/>
      <c r="H117" s="8"/>
      <c r="I117" s="8"/>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row>
    <row r="118" spans="1:114" s="46" customFormat="1" ht="16.5" customHeight="1" hidden="1">
      <c r="A118" s="153" t="s">
        <v>15</v>
      </c>
      <c r="B118" s="22">
        <f>SUM(B115:B117)</f>
        <v>3463</v>
      </c>
      <c r="C118" s="2"/>
      <c r="D118" s="23"/>
      <c r="E118" s="22"/>
      <c r="F118" s="9"/>
      <c r="G118" s="41"/>
      <c r="H118" s="8"/>
      <c r="I118" s="8"/>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row>
    <row r="119" spans="1:114" s="46" customFormat="1" ht="17.25" customHeight="1" hidden="1">
      <c r="A119" s="164" t="s">
        <v>23</v>
      </c>
      <c r="B119" s="63">
        <v>60</v>
      </c>
      <c r="C119" s="152" t="s">
        <v>33</v>
      </c>
      <c r="D119" s="63">
        <v>149639.87</v>
      </c>
      <c r="E119" s="85" t="s">
        <v>32</v>
      </c>
      <c r="F119" s="6"/>
      <c r="G119" s="41"/>
      <c r="H119" s="61"/>
      <c r="I119" s="8"/>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row>
    <row r="120" spans="1:114" s="46" customFormat="1" ht="17.25" customHeight="1" hidden="1">
      <c r="A120" s="164" t="s">
        <v>23</v>
      </c>
      <c r="B120" s="63">
        <v>3951.33</v>
      </c>
      <c r="C120" s="152" t="s">
        <v>34</v>
      </c>
      <c r="D120" s="63"/>
      <c r="E120" s="85"/>
      <c r="F120" s="6"/>
      <c r="G120" s="41"/>
      <c r="H120" s="61"/>
      <c r="I120" s="8"/>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row>
    <row r="121" spans="1:114" s="46" customFormat="1" ht="24" customHeight="1">
      <c r="A121" s="254" t="s">
        <v>27</v>
      </c>
      <c r="B121" s="278">
        <f>360+324</f>
        <v>684</v>
      </c>
      <c r="C121" s="156" t="s">
        <v>81</v>
      </c>
      <c r="D121" s="144">
        <v>673.92</v>
      </c>
      <c r="E121" s="105" t="s">
        <v>91</v>
      </c>
      <c r="F121" s="115"/>
      <c r="G121" s="119"/>
      <c r="H121" s="61"/>
      <c r="I121" s="8"/>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row>
    <row r="122" spans="1:114" s="46" customFormat="1" ht="20.25" customHeight="1">
      <c r="A122" s="260"/>
      <c r="B122" s="279"/>
      <c r="C122" s="128" t="s">
        <v>81</v>
      </c>
      <c r="D122" s="109">
        <v>1280.45</v>
      </c>
      <c r="E122" s="59" t="s">
        <v>92</v>
      </c>
      <c r="F122" s="115"/>
      <c r="G122" s="119"/>
      <c r="H122" s="61"/>
      <c r="I122" s="8"/>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row>
    <row r="123" spans="1:114" s="46" customFormat="1" ht="123.75" customHeight="1">
      <c r="A123" s="260"/>
      <c r="B123" s="279"/>
      <c r="C123" s="128" t="s">
        <v>216</v>
      </c>
      <c r="D123" s="109">
        <v>489343.04</v>
      </c>
      <c r="E123" s="105" t="s">
        <v>87</v>
      </c>
      <c r="F123" s="115"/>
      <c r="G123" s="119"/>
      <c r="H123" s="61"/>
      <c r="I123" s="8"/>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row>
    <row r="124" spans="1:9" ht="29.25" customHeight="1">
      <c r="A124" s="260"/>
      <c r="B124" s="279"/>
      <c r="C124" s="156" t="s">
        <v>138</v>
      </c>
      <c r="D124" s="109">
        <f>1898+160+60</f>
        <v>2118</v>
      </c>
      <c r="E124" s="122" t="s">
        <v>108</v>
      </c>
      <c r="F124" s="281"/>
      <c r="G124" s="268"/>
      <c r="H124" s="57"/>
      <c r="I124" s="14"/>
    </row>
    <row r="125" spans="1:9" ht="20.25" customHeight="1">
      <c r="A125" s="260"/>
      <c r="B125" s="279"/>
      <c r="C125" s="156" t="s">
        <v>26</v>
      </c>
      <c r="D125" s="109">
        <v>5490</v>
      </c>
      <c r="E125" s="122" t="s">
        <v>198</v>
      </c>
      <c r="F125" s="282"/>
      <c r="G125" s="271"/>
      <c r="H125" s="57"/>
      <c r="I125" s="104"/>
    </row>
    <row r="126" spans="1:9" ht="20.25" customHeight="1">
      <c r="A126" s="260"/>
      <c r="B126" s="279"/>
      <c r="C126" s="156" t="s">
        <v>192</v>
      </c>
      <c r="D126" s="109"/>
      <c r="E126" s="109"/>
      <c r="F126" s="283"/>
      <c r="G126" s="269"/>
      <c r="H126" s="57"/>
      <c r="I126" s="104"/>
    </row>
    <row r="127" spans="1:114" s="46" customFormat="1" ht="19.5" customHeight="1">
      <c r="A127" s="153" t="s">
        <v>15</v>
      </c>
      <c r="B127" s="52">
        <f>SUM(B121:B121)</f>
        <v>684</v>
      </c>
      <c r="C127" s="158"/>
      <c r="D127" s="22">
        <f>SUM(D121:D126)</f>
        <v>498905.41</v>
      </c>
      <c r="E127" s="23"/>
      <c r="F127" s="10">
        <f>F124</f>
        <v>0</v>
      </c>
      <c r="G127" s="41"/>
      <c r="H127" s="8">
        <f>SUM(H124:H126)</f>
        <v>0</v>
      </c>
      <c r="I127" s="33"/>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row>
    <row r="128" spans="1:114" s="46" customFormat="1" ht="102" customHeight="1">
      <c r="A128" s="254" t="s">
        <v>74</v>
      </c>
      <c r="B128" s="278"/>
      <c r="C128" s="152" t="s">
        <v>217</v>
      </c>
      <c r="D128" s="60">
        <v>76877.13</v>
      </c>
      <c r="E128" s="105" t="s">
        <v>87</v>
      </c>
      <c r="F128" s="281"/>
      <c r="G128" s="268"/>
      <c r="H128" s="57"/>
      <c r="I128" s="14"/>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row>
    <row r="129" spans="1:9" ht="16.5" customHeight="1">
      <c r="A129" s="255"/>
      <c r="B129" s="280"/>
      <c r="C129" s="152" t="s">
        <v>26</v>
      </c>
      <c r="D129" s="60">
        <v>3416</v>
      </c>
      <c r="E129" s="122" t="s">
        <v>198</v>
      </c>
      <c r="F129" s="283"/>
      <c r="G129" s="269"/>
      <c r="H129" s="60"/>
      <c r="I129" s="94"/>
    </row>
    <row r="130" spans="1:114" s="46" customFormat="1" ht="25.5" customHeight="1">
      <c r="A130" s="153" t="s">
        <v>15</v>
      </c>
      <c r="B130" s="39">
        <f>SUM(B128:B128)</f>
        <v>0</v>
      </c>
      <c r="C130" s="3"/>
      <c r="D130" s="22">
        <f>SUM(D128:D129)</f>
        <v>80293.13</v>
      </c>
      <c r="E130" s="23"/>
      <c r="F130" s="10">
        <f>F128</f>
        <v>0</v>
      </c>
      <c r="G130" s="41"/>
      <c r="H130" s="8">
        <f>SUM(H128:H129)</f>
        <v>0</v>
      </c>
      <c r="I130" s="33"/>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row>
    <row r="131" spans="1:114" s="46" customFormat="1" ht="18.75" customHeight="1">
      <c r="A131" s="254" t="s">
        <v>75</v>
      </c>
      <c r="B131" s="278">
        <v>120</v>
      </c>
      <c r="C131" s="156" t="s">
        <v>81</v>
      </c>
      <c r="D131" s="144">
        <v>1305.72</v>
      </c>
      <c r="E131" s="105" t="s">
        <v>91</v>
      </c>
      <c r="F131" s="281"/>
      <c r="G131" s="268"/>
      <c r="H131" s="57"/>
      <c r="I131" s="14"/>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row>
    <row r="132" spans="1:114" s="46" customFormat="1" ht="18.75" customHeight="1">
      <c r="A132" s="260"/>
      <c r="B132" s="279"/>
      <c r="C132" s="128" t="s">
        <v>81</v>
      </c>
      <c r="D132" s="109">
        <v>1280.45</v>
      </c>
      <c r="E132" s="59" t="s">
        <v>92</v>
      </c>
      <c r="F132" s="282"/>
      <c r="G132" s="271"/>
      <c r="H132" s="57"/>
      <c r="I132" s="14"/>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row>
    <row r="133" spans="1:114" s="46" customFormat="1" ht="150" customHeight="1">
      <c r="A133" s="260"/>
      <c r="B133" s="279"/>
      <c r="C133" s="137" t="s">
        <v>218</v>
      </c>
      <c r="D133" s="109">
        <v>546886.52</v>
      </c>
      <c r="E133" s="105" t="s">
        <v>87</v>
      </c>
      <c r="F133" s="282"/>
      <c r="G133" s="271"/>
      <c r="H133" s="57"/>
      <c r="I133" s="14"/>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row>
    <row r="134" spans="1:114" s="46" customFormat="1" ht="33.75" customHeight="1">
      <c r="A134" s="260"/>
      <c r="B134" s="279"/>
      <c r="C134" s="137" t="s">
        <v>156</v>
      </c>
      <c r="D134" s="109">
        <f>480+100</f>
        <v>580</v>
      </c>
      <c r="E134" s="138" t="s">
        <v>108</v>
      </c>
      <c r="F134" s="282"/>
      <c r="G134" s="271"/>
      <c r="H134" s="57"/>
      <c r="I134" s="14"/>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row>
    <row r="135" spans="1:114" s="46" customFormat="1" ht="19.5" customHeight="1">
      <c r="A135" s="260"/>
      <c r="B135" s="279"/>
      <c r="C135" s="156" t="s">
        <v>193</v>
      </c>
      <c r="D135" s="122"/>
      <c r="E135" s="105"/>
      <c r="F135" s="282"/>
      <c r="G135" s="271"/>
      <c r="H135" s="57"/>
      <c r="I135" s="14"/>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row>
    <row r="136" spans="1:9" ht="20.25" customHeight="1">
      <c r="A136" s="255"/>
      <c r="B136" s="280"/>
      <c r="C136" s="116" t="s">
        <v>26</v>
      </c>
      <c r="D136" s="122">
        <v>7930</v>
      </c>
      <c r="E136" s="105" t="s">
        <v>198</v>
      </c>
      <c r="F136" s="283"/>
      <c r="G136" s="269"/>
      <c r="H136" s="57"/>
      <c r="I136" s="14"/>
    </row>
    <row r="137" spans="1:114" s="46" customFormat="1" ht="20.25" customHeight="1">
      <c r="A137" s="153" t="s">
        <v>15</v>
      </c>
      <c r="B137" s="39">
        <f>SUM(B131:B136)</f>
        <v>120</v>
      </c>
      <c r="C137" s="3"/>
      <c r="D137" s="22">
        <f>SUM(D131:D136)</f>
        <v>557982.6900000001</v>
      </c>
      <c r="E137" s="23"/>
      <c r="F137" s="10">
        <f>F131</f>
        <v>0</v>
      </c>
      <c r="G137" s="41"/>
      <c r="H137" s="8">
        <f>SUM(H131:H136)</f>
        <v>0</v>
      </c>
      <c r="I137" s="33"/>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row>
    <row r="138" spans="1:114" s="46" customFormat="1" ht="23.25" customHeight="1" hidden="1">
      <c r="A138" s="254" t="s">
        <v>76</v>
      </c>
      <c r="B138" s="278">
        <f>791.2+2245.96+562+806+2178.6</f>
        <v>6583.76</v>
      </c>
      <c r="C138" s="152"/>
      <c r="D138" s="59"/>
      <c r="E138" s="86"/>
      <c r="F138" s="281"/>
      <c r="G138" s="268"/>
      <c r="H138" s="8"/>
      <c r="I138" s="33"/>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row>
    <row r="139" spans="1:114" s="46" customFormat="1" ht="218.25" customHeight="1">
      <c r="A139" s="260"/>
      <c r="B139" s="279"/>
      <c r="C139" s="162" t="s">
        <v>220</v>
      </c>
      <c r="D139" s="122">
        <v>522405.61</v>
      </c>
      <c r="E139" s="105" t="s">
        <v>87</v>
      </c>
      <c r="F139" s="282"/>
      <c r="G139" s="271"/>
      <c r="H139" s="8"/>
      <c r="I139" s="120"/>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row>
    <row r="140" spans="1:114" s="46" customFormat="1" ht="19.5" customHeight="1">
      <c r="A140" s="260"/>
      <c r="B140" s="279"/>
      <c r="C140" s="128" t="s">
        <v>29</v>
      </c>
      <c r="D140" s="109"/>
      <c r="E140" s="122"/>
      <c r="F140" s="282"/>
      <c r="G140" s="271"/>
      <c r="H140" s="8"/>
      <c r="I140" s="120"/>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row>
    <row r="141" spans="1:114" s="46" customFormat="1" ht="141.75" customHeight="1">
      <c r="A141" s="260"/>
      <c r="B141" s="279"/>
      <c r="C141" s="156" t="s">
        <v>106</v>
      </c>
      <c r="D141" s="122">
        <v>142506</v>
      </c>
      <c r="E141" s="105" t="s">
        <v>80</v>
      </c>
      <c r="F141" s="282"/>
      <c r="G141" s="271"/>
      <c r="H141" s="8"/>
      <c r="I141" s="120"/>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row>
    <row r="142" spans="1:114" s="46" customFormat="1" ht="218.25" customHeight="1">
      <c r="A142" s="260"/>
      <c r="B142" s="279"/>
      <c r="C142" s="146" t="s">
        <v>158</v>
      </c>
      <c r="D142" s="109">
        <v>402168.72</v>
      </c>
      <c r="E142" s="106" t="s">
        <v>132</v>
      </c>
      <c r="F142" s="282"/>
      <c r="G142" s="271"/>
      <c r="H142" s="8"/>
      <c r="I142" s="120"/>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row>
    <row r="143" spans="1:114" s="46" customFormat="1" ht="41.25" customHeight="1">
      <c r="A143" s="260"/>
      <c r="B143" s="279"/>
      <c r="C143" s="156" t="s">
        <v>157</v>
      </c>
      <c r="D143" s="122">
        <f>750+240+6175</f>
        <v>7165</v>
      </c>
      <c r="E143" s="105" t="s">
        <v>108</v>
      </c>
      <c r="F143" s="282"/>
      <c r="G143" s="271"/>
      <c r="H143" s="8"/>
      <c r="I143" s="120"/>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row>
    <row r="144" spans="1:114" s="46" customFormat="1" ht="47.25" customHeight="1">
      <c r="A144" s="260"/>
      <c r="B144" s="279"/>
      <c r="C144" s="165" t="s">
        <v>160</v>
      </c>
      <c r="D144" s="122">
        <v>245480.54</v>
      </c>
      <c r="E144" s="172" t="s">
        <v>159</v>
      </c>
      <c r="F144" s="282"/>
      <c r="G144" s="271"/>
      <c r="H144" s="8"/>
      <c r="I144" s="120"/>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row>
    <row r="145" spans="1:114" s="46" customFormat="1" ht="24.75" customHeight="1">
      <c r="A145" s="260"/>
      <c r="B145" s="279"/>
      <c r="C145" s="165" t="s">
        <v>113</v>
      </c>
      <c r="D145" s="109">
        <f>1082.18</f>
        <v>1082.18</v>
      </c>
      <c r="E145" s="122" t="s">
        <v>112</v>
      </c>
      <c r="F145" s="282"/>
      <c r="G145" s="271"/>
      <c r="H145" s="8"/>
      <c r="I145" s="120"/>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row>
    <row r="146" spans="1:114" s="46" customFormat="1" ht="24.75" customHeight="1">
      <c r="A146" s="260"/>
      <c r="B146" s="279"/>
      <c r="C146" s="165" t="s">
        <v>26</v>
      </c>
      <c r="D146" s="109">
        <v>6710</v>
      </c>
      <c r="E146" s="122" t="s">
        <v>198</v>
      </c>
      <c r="F146" s="282"/>
      <c r="G146" s="271"/>
      <c r="H146" s="8"/>
      <c r="I146" s="120"/>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row>
    <row r="147" spans="1:114" s="46" customFormat="1" ht="122.25" customHeight="1">
      <c r="A147" s="260"/>
      <c r="B147" s="279"/>
      <c r="C147" s="165" t="s">
        <v>173</v>
      </c>
      <c r="D147" s="109">
        <f>87150+800+75472.25+29277.9+96513.89+106300</f>
        <v>395514.04</v>
      </c>
      <c r="E147" s="122" t="s">
        <v>110</v>
      </c>
      <c r="F147" s="282"/>
      <c r="G147" s="271"/>
      <c r="H147" s="8"/>
      <c r="I147" s="120"/>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row>
    <row r="148" spans="1:114" s="46" customFormat="1" ht="24" customHeight="1">
      <c r="A148" s="153" t="s">
        <v>15</v>
      </c>
      <c r="B148" s="52">
        <f>SUM(B138:B138)</f>
        <v>6583.76</v>
      </c>
      <c r="C148" s="152"/>
      <c r="D148" s="22">
        <f>SUM(D139:D147)</f>
        <v>1723032.09</v>
      </c>
      <c r="E148" s="60"/>
      <c r="F148" s="10">
        <f>F138</f>
        <v>0</v>
      </c>
      <c r="G148" s="41"/>
      <c r="H148" s="50">
        <f>SUM(H138:H147)</f>
        <v>0</v>
      </c>
      <c r="I148" s="33"/>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row>
    <row r="149" spans="1:114" s="46" customFormat="1" ht="29.25" customHeight="1">
      <c r="A149" s="277" t="s">
        <v>37</v>
      </c>
      <c r="B149" s="278"/>
      <c r="C149" s="156" t="s">
        <v>81</v>
      </c>
      <c r="D149" s="144">
        <v>1305.72</v>
      </c>
      <c r="E149" s="105" t="s">
        <v>91</v>
      </c>
      <c r="F149" s="266"/>
      <c r="G149" s="268"/>
      <c r="H149" s="57"/>
      <c r="I149" s="14"/>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row>
    <row r="150" spans="1:114" s="46" customFormat="1" ht="20.25" customHeight="1">
      <c r="A150" s="277"/>
      <c r="B150" s="279"/>
      <c r="C150" s="128" t="s">
        <v>81</v>
      </c>
      <c r="D150" s="109">
        <v>1280.45</v>
      </c>
      <c r="E150" s="59" t="s">
        <v>92</v>
      </c>
      <c r="F150" s="270"/>
      <c r="G150" s="271"/>
      <c r="H150" s="57"/>
      <c r="I150" s="14"/>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row>
    <row r="151" spans="1:114" s="46" customFormat="1" ht="121.5" customHeight="1">
      <c r="A151" s="277"/>
      <c r="B151" s="279"/>
      <c r="C151" s="165" t="s">
        <v>221</v>
      </c>
      <c r="D151" s="122">
        <v>270761.54</v>
      </c>
      <c r="E151" s="105" t="s">
        <v>87</v>
      </c>
      <c r="F151" s="270"/>
      <c r="G151" s="271"/>
      <c r="H151" s="57"/>
      <c r="I151" s="14"/>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row>
    <row r="152" spans="1:114" s="46" customFormat="1" ht="27" customHeight="1">
      <c r="A152" s="277"/>
      <c r="B152" s="279"/>
      <c r="C152" s="156" t="s">
        <v>120</v>
      </c>
      <c r="D152" s="122">
        <v>240</v>
      </c>
      <c r="E152" s="105" t="s">
        <v>108</v>
      </c>
      <c r="F152" s="270"/>
      <c r="G152" s="271"/>
      <c r="H152" s="57"/>
      <c r="I152" s="14"/>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row>
    <row r="153" spans="1:114" s="46" customFormat="1" ht="16.5" customHeight="1">
      <c r="A153" s="277"/>
      <c r="B153" s="280"/>
      <c r="C153" s="128" t="s">
        <v>26</v>
      </c>
      <c r="D153" s="109">
        <v>6710</v>
      </c>
      <c r="E153" s="122" t="s">
        <v>198</v>
      </c>
      <c r="F153" s="267"/>
      <c r="G153" s="269"/>
      <c r="H153" s="61"/>
      <c r="I153" s="8"/>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row>
    <row r="154" spans="1:114" s="46" customFormat="1" ht="19.5" customHeight="1">
      <c r="A154" s="153" t="s">
        <v>15</v>
      </c>
      <c r="B154" s="64">
        <f>B149</f>
        <v>0</v>
      </c>
      <c r="C154" s="2"/>
      <c r="D154" s="64">
        <f>SUM(D149:D153)</f>
        <v>280297.70999999996</v>
      </c>
      <c r="E154" s="22"/>
      <c r="F154" s="9">
        <f>F149</f>
        <v>0</v>
      </c>
      <c r="G154" s="41"/>
      <c r="H154" s="8">
        <f>SUM(H149:H153)</f>
        <v>0</v>
      </c>
      <c r="I154" s="8"/>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row>
    <row r="155" spans="1:114" s="46" customFormat="1" ht="142.5" customHeight="1">
      <c r="A155" s="254" t="s">
        <v>53</v>
      </c>
      <c r="B155" s="261">
        <v>138</v>
      </c>
      <c r="C155" s="156" t="s">
        <v>222</v>
      </c>
      <c r="D155" s="122">
        <v>319625.29</v>
      </c>
      <c r="E155" s="105" t="s">
        <v>87</v>
      </c>
      <c r="F155" s="266"/>
      <c r="G155" s="268"/>
      <c r="H155" s="8"/>
      <c r="I155" s="8"/>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row>
    <row r="156" spans="1:114" s="46" customFormat="1" ht="58.5" customHeight="1">
      <c r="A156" s="260"/>
      <c r="B156" s="262"/>
      <c r="C156" s="158" t="s">
        <v>161</v>
      </c>
      <c r="D156" s="122">
        <f>7740+6552+420</f>
        <v>14712</v>
      </c>
      <c r="E156" s="122" t="s">
        <v>108</v>
      </c>
      <c r="F156" s="270"/>
      <c r="G156" s="271"/>
      <c r="H156" s="8"/>
      <c r="I156" s="8"/>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row>
    <row r="157" spans="1:114" s="46" customFormat="1" ht="19.5" customHeight="1">
      <c r="A157" s="260"/>
      <c r="B157" s="262"/>
      <c r="C157" s="158" t="s">
        <v>194</v>
      </c>
      <c r="D157" s="122"/>
      <c r="E157" s="138"/>
      <c r="F157" s="270"/>
      <c r="G157" s="271"/>
      <c r="H157" s="8"/>
      <c r="I157" s="8"/>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row>
    <row r="158" spans="1:114" s="46" customFormat="1" ht="19.5" customHeight="1">
      <c r="A158" s="260"/>
      <c r="B158" s="262"/>
      <c r="C158" s="158" t="s">
        <v>26</v>
      </c>
      <c r="D158" s="122">
        <v>2440</v>
      </c>
      <c r="E158" s="138" t="s">
        <v>198</v>
      </c>
      <c r="F158" s="270"/>
      <c r="G158" s="271"/>
      <c r="H158" s="8"/>
      <c r="I158" s="8"/>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row>
    <row r="159" spans="1:114" s="46" customFormat="1" ht="19.5" customHeight="1">
      <c r="A159" s="260"/>
      <c r="B159" s="262"/>
      <c r="C159" s="158" t="s">
        <v>134</v>
      </c>
      <c r="D159" s="122">
        <v>4320</v>
      </c>
      <c r="E159" s="106" t="s">
        <v>141</v>
      </c>
      <c r="F159" s="267"/>
      <c r="G159" s="269"/>
      <c r="H159" s="61"/>
      <c r="I159" s="8"/>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row>
    <row r="160" spans="1:114" s="46" customFormat="1" ht="21" customHeight="1">
      <c r="A160" s="153" t="s">
        <v>15</v>
      </c>
      <c r="B160" s="64">
        <f>SUM(B155)</f>
        <v>138</v>
      </c>
      <c r="C160" s="2"/>
      <c r="D160" s="64">
        <f>SUM(D155:D159)</f>
        <v>341097.29</v>
      </c>
      <c r="E160" s="22"/>
      <c r="F160" s="9">
        <f>F155</f>
        <v>0</v>
      </c>
      <c r="G160" s="41"/>
      <c r="H160" s="8">
        <f>SUM(H155:H159)</f>
        <v>0</v>
      </c>
      <c r="I160" s="8"/>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row>
    <row r="161" spans="1:114" s="46" customFormat="1" ht="33.75" customHeight="1">
      <c r="A161" s="254" t="s">
        <v>77</v>
      </c>
      <c r="B161" s="261"/>
      <c r="C161" s="152" t="s">
        <v>223</v>
      </c>
      <c r="D161" s="59">
        <v>643552.58</v>
      </c>
      <c r="E161" s="105" t="s">
        <v>87</v>
      </c>
      <c r="F161" s="9"/>
      <c r="G161" s="41"/>
      <c r="H161" s="8"/>
      <c r="I161" s="8"/>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row>
    <row r="162" spans="1:114" s="46" customFormat="1" ht="20.25" customHeight="1">
      <c r="A162" s="255"/>
      <c r="B162" s="265"/>
      <c r="C162" s="166" t="s">
        <v>26</v>
      </c>
      <c r="D162" s="148">
        <v>5490</v>
      </c>
      <c r="E162" s="109" t="s">
        <v>198</v>
      </c>
      <c r="F162" s="170"/>
      <c r="G162" s="110"/>
      <c r="H162" s="8"/>
      <c r="I162" s="8"/>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row>
    <row r="163" spans="1:114" s="46" customFormat="1" ht="19.5" customHeight="1">
      <c r="A163" s="153" t="s">
        <v>15</v>
      </c>
      <c r="B163" s="22">
        <f>SUM(B161)</f>
        <v>0</v>
      </c>
      <c r="C163" s="2"/>
      <c r="D163" s="23">
        <f>SUM(D161:D162)</f>
        <v>649042.58</v>
      </c>
      <c r="E163" s="103"/>
      <c r="F163" s="9"/>
      <c r="G163" s="41"/>
      <c r="H163" s="8">
        <f>SUM(H162:H162)</f>
        <v>0</v>
      </c>
      <c r="I163" s="8"/>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row>
    <row r="164" spans="1:114" s="46" customFormat="1" ht="54" customHeight="1">
      <c r="A164" s="254" t="s">
        <v>38</v>
      </c>
      <c r="B164" s="261"/>
      <c r="C164" s="152" t="s">
        <v>224</v>
      </c>
      <c r="D164" s="59">
        <v>251683.58</v>
      </c>
      <c r="E164" s="105" t="s">
        <v>87</v>
      </c>
      <c r="F164" s="266"/>
      <c r="G164" s="268"/>
      <c r="H164" s="57"/>
      <c r="I164" s="14"/>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row>
    <row r="165" spans="1:114" s="46" customFormat="1" ht="15.75" customHeight="1">
      <c r="A165" s="255"/>
      <c r="B165" s="265"/>
      <c r="C165" s="152" t="s">
        <v>26</v>
      </c>
      <c r="D165" s="82">
        <v>6710</v>
      </c>
      <c r="E165" s="122" t="s">
        <v>198</v>
      </c>
      <c r="F165" s="267"/>
      <c r="G165" s="269"/>
      <c r="H165" s="8"/>
      <c r="I165" s="8"/>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row>
    <row r="166" spans="1:114" s="46" customFormat="1" ht="19.5" customHeight="1">
      <c r="A166" s="153" t="s">
        <v>15</v>
      </c>
      <c r="B166" s="22">
        <f>B164</f>
        <v>0</v>
      </c>
      <c r="C166" s="2"/>
      <c r="D166" s="23">
        <f>D164+D165</f>
        <v>258393.58</v>
      </c>
      <c r="E166" s="59"/>
      <c r="F166" s="9">
        <f>F164</f>
        <v>0</v>
      </c>
      <c r="G166" s="41"/>
      <c r="H166" s="8">
        <f>SUM(H164:H165)</f>
        <v>0</v>
      </c>
      <c r="I166" s="8"/>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row>
    <row r="167" spans="1:114" s="46" customFormat="1" ht="105" customHeight="1">
      <c r="A167" s="254" t="s">
        <v>56</v>
      </c>
      <c r="B167" s="261">
        <f>150+63.25</f>
        <v>213.25</v>
      </c>
      <c r="C167" s="128" t="s">
        <v>225</v>
      </c>
      <c r="D167" s="60">
        <v>236102.05</v>
      </c>
      <c r="E167" s="105" t="s">
        <v>87</v>
      </c>
      <c r="F167" s="266"/>
      <c r="G167" s="274"/>
      <c r="H167" s="57"/>
      <c r="I167" s="14"/>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row>
    <row r="168" spans="1:114" s="46" customFormat="1" ht="19.5" customHeight="1">
      <c r="A168" s="260"/>
      <c r="B168" s="262"/>
      <c r="C168" s="149" t="s">
        <v>118</v>
      </c>
      <c r="D168" s="60"/>
      <c r="E168" s="105"/>
      <c r="F168" s="270"/>
      <c r="G168" s="275"/>
      <c r="H168" s="57"/>
      <c r="I168" s="14"/>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row>
    <row r="169" spans="1:114" s="46" customFormat="1" ht="19.5" customHeight="1">
      <c r="A169" s="260"/>
      <c r="B169" s="262"/>
      <c r="C169" s="149" t="s">
        <v>26</v>
      </c>
      <c r="D169" s="60">
        <v>1220</v>
      </c>
      <c r="E169" s="105" t="s">
        <v>198</v>
      </c>
      <c r="F169" s="270"/>
      <c r="G169" s="275"/>
      <c r="H169" s="57"/>
      <c r="I169" s="14"/>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row>
    <row r="170" spans="1:114" s="46" customFormat="1" ht="39.75" customHeight="1">
      <c r="A170" s="260"/>
      <c r="B170" s="262"/>
      <c r="C170" s="149" t="s">
        <v>176</v>
      </c>
      <c r="D170" s="60">
        <f>1314+4080+432</f>
        <v>5826</v>
      </c>
      <c r="E170" s="105" t="s">
        <v>175</v>
      </c>
      <c r="F170" s="270"/>
      <c r="G170" s="275"/>
      <c r="H170" s="57"/>
      <c r="I170" s="14"/>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row>
    <row r="171" spans="1:114" s="46" customFormat="1" ht="53.25" customHeight="1">
      <c r="A171" s="255"/>
      <c r="B171" s="265"/>
      <c r="C171" s="114" t="s">
        <v>162</v>
      </c>
      <c r="D171" s="82">
        <f>7740+6242</f>
        <v>13982</v>
      </c>
      <c r="E171" s="59" t="s">
        <v>131</v>
      </c>
      <c r="F171" s="267"/>
      <c r="G171" s="276"/>
      <c r="H171" s="8"/>
      <c r="I171" s="8"/>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row>
    <row r="172" spans="1:114" s="46" customFormat="1" ht="21.75" customHeight="1">
      <c r="A172" s="153" t="s">
        <v>15</v>
      </c>
      <c r="B172" s="22">
        <f>B167</f>
        <v>213.25</v>
      </c>
      <c r="C172" s="2"/>
      <c r="D172" s="23">
        <f>SUM(D167:D171)</f>
        <v>257130.05</v>
      </c>
      <c r="E172" s="59"/>
      <c r="F172" s="9">
        <f>F167</f>
        <v>0</v>
      </c>
      <c r="G172" s="41"/>
      <c r="H172" s="8">
        <f>SUM(H167:H171)</f>
        <v>0</v>
      </c>
      <c r="I172" s="8"/>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row>
    <row r="173" spans="1:114" s="46" customFormat="1" ht="21" customHeight="1">
      <c r="A173" s="254" t="s">
        <v>78</v>
      </c>
      <c r="B173" s="261"/>
      <c r="C173" s="156" t="s">
        <v>81</v>
      </c>
      <c r="D173" s="144">
        <v>673.92</v>
      </c>
      <c r="E173" s="105" t="s">
        <v>91</v>
      </c>
      <c r="F173" s="126"/>
      <c r="G173" s="119"/>
      <c r="H173" s="8"/>
      <c r="I173" s="8"/>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row>
    <row r="174" spans="1:114" s="46" customFormat="1" ht="24.75" customHeight="1">
      <c r="A174" s="260"/>
      <c r="B174" s="262"/>
      <c r="C174" s="128" t="s">
        <v>81</v>
      </c>
      <c r="D174" s="109">
        <v>2560.9</v>
      </c>
      <c r="E174" s="59" t="s">
        <v>92</v>
      </c>
      <c r="F174" s="126"/>
      <c r="G174" s="119"/>
      <c r="H174" s="8"/>
      <c r="I174" s="8"/>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row>
    <row r="175" spans="1:114" s="46" customFormat="1" ht="54" customHeight="1">
      <c r="A175" s="260"/>
      <c r="B175" s="262"/>
      <c r="C175" s="136" t="s">
        <v>93</v>
      </c>
      <c r="D175" s="131">
        <v>165000</v>
      </c>
      <c r="E175" s="135" t="s">
        <v>97</v>
      </c>
      <c r="F175" s="126"/>
      <c r="G175" s="119"/>
      <c r="H175" s="8"/>
      <c r="I175" s="8"/>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row>
    <row r="176" spans="1:114" s="46" customFormat="1" ht="80.25" customHeight="1">
      <c r="A176" s="260"/>
      <c r="B176" s="262"/>
      <c r="C176" s="128" t="s">
        <v>226</v>
      </c>
      <c r="D176" s="148">
        <v>637855.98</v>
      </c>
      <c r="E176" s="105" t="s">
        <v>87</v>
      </c>
      <c r="F176" s="266"/>
      <c r="G176" s="268"/>
      <c r="H176" s="59"/>
      <c r="I176" s="94"/>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row>
    <row r="177" spans="1:114" s="46" customFormat="1" ht="22.5" customHeight="1">
      <c r="A177" s="260"/>
      <c r="B177" s="262"/>
      <c r="C177" s="156" t="s">
        <v>143</v>
      </c>
      <c r="D177" s="122">
        <f>75+544</f>
        <v>619</v>
      </c>
      <c r="E177" s="105" t="s">
        <v>108</v>
      </c>
      <c r="F177" s="270"/>
      <c r="G177" s="271"/>
      <c r="H177" s="59"/>
      <c r="I177" s="94"/>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row>
    <row r="178" spans="1:114" s="46" customFormat="1" ht="15.75">
      <c r="A178" s="255"/>
      <c r="B178" s="265"/>
      <c r="C178" s="162" t="s">
        <v>26</v>
      </c>
      <c r="D178" s="122">
        <v>3172</v>
      </c>
      <c r="E178" s="105" t="s">
        <v>198</v>
      </c>
      <c r="F178" s="267"/>
      <c r="G178" s="269"/>
      <c r="H178" s="8"/>
      <c r="I178" s="8"/>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row>
    <row r="179" spans="1:114" s="46" customFormat="1" ht="19.5" customHeight="1">
      <c r="A179" s="153" t="s">
        <v>15</v>
      </c>
      <c r="B179" s="22">
        <f>SUM(B173)</f>
        <v>0</v>
      </c>
      <c r="C179" s="2"/>
      <c r="D179" s="23">
        <f>SUM(D173:D178)</f>
        <v>809881.8</v>
      </c>
      <c r="E179" s="59"/>
      <c r="F179" s="9">
        <f>F176</f>
        <v>0</v>
      </c>
      <c r="G179" s="41"/>
      <c r="H179" s="8">
        <f>SUM(H176:H178)</f>
        <v>0</v>
      </c>
      <c r="I179" s="8"/>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row>
    <row r="180" spans="1:114" s="46" customFormat="1" ht="20.25" customHeight="1" hidden="1">
      <c r="A180" s="254" t="s">
        <v>39</v>
      </c>
      <c r="B180" s="261"/>
      <c r="C180" s="272"/>
      <c r="D180" s="83"/>
      <c r="E180" s="16"/>
      <c r="F180" s="266"/>
      <c r="G180" s="268"/>
      <c r="H180" s="57"/>
      <c r="I180" s="14"/>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row>
    <row r="181" spans="1:114" s="46" customFormat="1" ht="0.75" customHeight="1" hidden="1">
      <c r="A181" s="260"/>
      <c r="B181" s="262"/>
      <c r="C181" s="273"/>
      <c r="D181" s="88"/>
      <c r="E181" s="88"/>
      <c r="F181" s="270"/>
      <c r="G181" s="271"/>
      <c r="H181" s="8"/>
      <c r="I181" s="8"/>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row>
    <row r="182" spans="1:114" s="46" customFormat="1" ht="20.25" customHeight="1" hidden="1">
      <c r="A182" s="255"/>
      <c r="B182" s="265"/>
      <c r="C182" s="152"/>
      <c r="D182" s="59"/>
      <c r="E182" s="78"/>
      <c r="F182" s="267"/>
      <c r="G182" s="269"/>
      <c r="H182" s="8"/>
      <c r="I182" s="8"/>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row>
    <row r="183" spans="1:114" s="46" customFormat="1" ht="19.5" customHeight="1" hidden="1">
      <c r="A183" s="153" t="s">
        <v>15</v>
      </c>
      <c r="B183" s="22">
        <f>SUM(B180)</f>
        <v>0</v>
      </c>
      <c r="C183" s="2"/>
      <c r="D183" s="23">
        <f>SUM(D180:D182)</f>
        <v>0</v>
      </c>
      <c r="E183" s="59"/>
      <c r="F183" s="9">
        <f>F180</f>
        <v>0</v>
      </c>
      <c r="G183" s="41"/>
      <c r="H183" s="8">
        <f>SUM(H180:H182)</f>
        <v>0</v>
      </c>
      <c r="I183" s="8"/>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row>
    <row r="184" spans="1:114" s="46" customFormat="1" ht="27.75" customHeight="1">
      <c r="A184" s="254" t="s">
        <v>40</v>
      </c>
      <c r="B184" s="261">
        <v>120</v>
      </c>
      <c r="C184" s="156" t="s">
        <v>81</v>
      </c>
      <c r="D184" s="144">
        <v>673.92</v>
      </c>
      <c r="E184" s="105" t="s">
        <v>91</v>
      </c>
      <c r="F184" s="126"/>
      <c r="G184" s="119"/>
      <c r="H184" s="8"/>
      <c r="I184" s="8"/>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row>
    <row r="185" spans="1:114" s="46" customFormat="1" ht="24.75" customHeight="1">
      <c r="A185" s="260"/>
      <c r="B185" s="262"/>
      <c r="C185" s="128" t="s">
        <v>81</v>
      </c>
      <c r="D185" s="109">
        <v>1920.47</v>
      </c>
      <c r="E185" s="59" t="s">
        <v>92</v>
      </c>
      <c r="F185" s="126"/>
      <c r="G185" s="119"/>
      <c r="H185" s="8"/>
      <c r="I185" s="8"/>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row>
    <row r="186" spans="1:114" s="46" customFormat="1" ht="61.5" customHeight="1">
      <c r="A186" s="260"/>
      <c r="B186" s="262"/>
      <c r="C186" s="136" t="s">
        <v>93</v>
      </c>
      <c r="D186" s="131">
        <v>165000</v>
      </c>
      <c r="E186" s="135" t="s">
        <v>97</v>
      </c>
      <c r="F186" s="266"/>
      <c r="G186" s="268"/>
      <c r="H186" s="57"/>
      <c r="I186" s="14"/>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row>
    <row r="187" spans="1:114" s="46" customFormat="1" ht="76.5" customHeight="1">
      <c r="A187" s="260"/>
      <c r="B187" s="262"/>
      <c r="C187" s="128" t="s">
        <v>227</v>
      </c>
      <c r="D187" s="148">
        <v>461135.58</v>
      </c>
      <c r="E187" s="105" t="s">
        <v>87</v>
      </c>
      <c r="F187" s="270"/>
      <c r="G187" s="271"/>
      <c r="H187" s="57"/>
      <c r="I187" s="14"/>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row>
    <row r="188" spans="1:114" s="46" customFormat="1" ht="20.25" customHeight="1">
      <c r="A188" s="260"/>
      <c r="B188" s="262"/>
      <c r="C188" s="128" t="s">
        <v>26</v>
      </c>
      <c r="D188" s="148">
        <v>9760</v>
      </c>
      <c r="E188" s="105" t="s">
        <v>198</v>
      </c>
      <c r="F188" s="270"/>
      <c r="G188" s="271"/>
      <c r="H188" s="57"/>
      <c r="I188" s="14"/>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row>
    <row r="189" spans="1:114" s="46" customFormat="1" ht="22.5" customHeight="1">
      <c r="A189" s="260"/>
      <c r="B189" s="262"/>
      <c r="C189" s="156" t="s">
        <v>81</v>
      </c>
      <c r="D189" s="122">
        <v>960</v>
      </c>
      <c r="E189" s="105" t="s">
        <v>117</v>
      </c>
      <c r="F189" s="270"/>
      <c r="G189" s="271"/>
      <c r="H189" s="57"/>
      <c r="I189" s="14"/>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row>
    <row r="190" spans="1:114" s="46" customFormat="1" ht="27" customHeight="1">
      <c r="A190" s="260"/>
      <c r="B190" s="262"/>
      <c r="C190" s="156" t="s">
        <v>155</v>
      </c>
      <c r="D190" s="131">
        <v>40</v>
      </c>
      <c r="E190" s="105" t="s">
        <v>108</v>
      </c>
      <c r="F190" s="270"/>
      <c r="G190" s="271"/>
      <c r="H190" s="57"/>
      <c r="I190" s="14"/>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row>
    <row r="191" spans="1:114" s="46" customFormat="1" ht="20.25" customHeight="1">
      <c r="A191" s="255"/>
      <c r="B191" s="265"/>
      <c r="C191" s="158" t="s">
        <v>194</v>
      </c>
      <c r="D191" s="122"/>
      <c r="E191" s="109"/>
      <c r="F191" s="267"/>
      <c r="G191" s="269"/>
      <c r="H191" s="8"/>
      <c r="I191" s="8"/>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row>
    <row r="192" spans="1:114" s="46" customFormat="1" ht="21" customHeight="1">
      <c r="A192" s="153" t="s">
        <v>15</v>
      </c>
      <c r="B192" s="22">
        <f>SUM(B184)</f>
        <v>120</v>
      </c>
      <c r="C192" s="2"/>
      <c r="D192" s="23">
        <f>SUM(D184:D191)</f>
        <v>639489.97</v>
      </c>
      <c r="E192" s="103"/>
      <c r="F192" s="9">
        <f>F186</f>
        <v>0</v>
      </c>
      <c r="G192" s="41"/>
      <c r="H192" s="8">
        <f>SUM(H186:H191)</f>
        <v>0</v>
      </c>
      <c r="I192" s="8"/>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row>
    <row r="193" spans="1:114" s="46" customFormat="1" ht="56.25" customHeight="1">
      <c r="A193" s="254" t="s">
        <v>31</v>
      </c>
      <c r="B193" s="261"/>
      <c r="C193" s="156" t="s">
        <v>228</v>
      </c>
      <c r="D193" s="59">
        <v>265899.98</v>
      </c>
      <c r="E193" s="105" t="s">
        <v>87</v>
      </c>
      <c r="F193" s="266"/>
      <c r="G193" s="268"/>
      <c r="H193" s="57"/>
      <c r="I193" s="14"/>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row>
    <row r="194" spans="1:114" s="46" customFormat="1" ht="18" customHeight="1">
      <c r="A194" s="255"/>
      <c r="B194" s="265"/>
      <c r="C194" s="168" t="s">
        <v>26</v>
      </c>
      <c r="D194" s="59">
        <v>3050</v>
      </c>
      <c r="E194" s="122" t="s">
        <v>198</v>
      </c>
      <c r="F194" s="267"/>
      <c r="G194" s="269"/>
      <c r="H194" s="8"/>
      <c r="I194" s="8"/>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row>
    <row r="195" spans="1:114" s="46" customFormat="1" ht="18.75" customHeight="1">
      <c r="A195" s="153" t="s">
        <v>15</v>
      </c>
      <c r="B195" s="22">
        <f>B193</f>
        <v>0</v>
      </c>
      <c r="C195" s="2"/>
      <c r="D195" s="23">
        <f>SUM(D193:D194)</f>
        <v>268949.98</v>
      </c>
      <c r="E195" s="22"/>
      <c r="F195" s="9">
        <f>F193</f>
        <v>0</v>
      </c>
      <c r="G195" s="41"/>
      <c r="H195" s="8">
        <f>SUM(H193:H194)</f>
        <v>0</v>
      </c>
      <c r="I195" s="8"/>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row>
    <row r="196" spans="1:114" s="46" customFormat="1" ht="108.75" customHeight="1">
      <c r="A196" s="254" t="s">
        <v>41</v>
      </c>
      <c r="B196" s="261">
        <f>420+26400+24</f>
        <v>26844</v>
      </c>
      <c r="C196" s="156" t="s">
        <v>229</v>
      </c>
      <c r="D196" s="59">
        <v>441879.3</v>
      </c>
      <c r="E196" s="105" t="s">
        <v>87</v>
      </c>
      <c r="F196" s="266"/>
      <c r="G196" s="268"/>
      <c r="H196" s="8"/>
      <c r="I196" s="8"/>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row>
    <row r="197" spans="1:114" s="46" customFormat="1" ht="56.25" customHeight="1">
      <c r="A197" s="260"/>
      <c r="B197" s="262"/>
      <c r="C197" s="128" t="s">
        <v>163</v>
      </c>
      <c r="D197" s="109">
        <f>6420+8100+370</f>
        <v>14890</v>
      </c>
      <c r="E197" s="105" t="s">
        <v>108</v>
      </c>
      <c r="F197" s="270"/>
      <c r="G197" s="271"/>
      <c r="H197" s="8"/>
      <c r="I197" s="8"/>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row>
    <row r="198" spans="1:114" s="46" customFormat="1" ht="19.5" customHeight="1">
      <c r="A198" s="260"/>
      <c r="B198" s="262"/>
      <c r="C198" s="165" t="s">
        <v>195</v>
      </c>
      <c r="D198" s="109"/>
      <c r="E198" s="122"/>
      <c r="F198" s="270"/>
      <c r="G198" s="271"/>
      <c r="H198" s="8"/>
      <c r="I198" s="8"/>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row>
    <row r="199" spans="1:114" s="46" customFormat="1" ht="20.25" customHeight="1">
      <c r="A199" s="255"/>
      <c r="B199" s="265"/>
      <c r="C199" s="152" t="s">
        <v>26</v>
      </c>
      <c r="D199" s="82">
        <v>4270</v>
      </c>
      <c r="E199" s="78" t="s">
        <v>198</v>
      </c>
      <c r="F199" s="267"/>
      <c r="G199" s="269"/>
      <c r="H199" s="59"/>
      <c r="I199" s="96"/>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row>
    <row r="200" spans="1:114" s="46" customFormat="1" ht="23.25" customHeight="1">
      <c r="A200" s="153" t="s">
        <v>15</v>
      </c>
      <c r="B200" s="22">
        <f>B196</f>
        <v>26844</v>
      </c>
      <c r="C200" s="2"/>
      <c r="D200" s="23">
        <f>SUM(D196:D199)</f>
        <v>461039.3</v>
      </c>
      <c r="E200" s="103"/>
      <c r="F200" s="9">
        <f>F196</f>
        <v>0</v>
      </c>
      <c r="G200" s="41"/>
      <c r="H200" s="8">
        <f>SUM(H196:H199)</f>
        <v>0</v>
      </c>
      <c r="I200" s="8"/>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row>
    <row r="201" spans="1:114" s="46" customFormat="1" ht="38.25" customHeight="1">
      <c r="A201" s="258" t="s">
        <v>79</v>
      </c>
      <c r="B201" s="256"/>
      <c r="C201" s="21" t="s">
        <v>85</v>
      </c>
      <c r="D201" s="60">
        <v>413673.75</v>
      </c>
      <c r="E201" s="125" t="s">
        <v>86</v>
      </c>
      <c r="F201" s="9"/>
      <c r="G201" s="41"/>
      <c r="H201" s="8"/>
      <c r="I201" s="8"/>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row>
    <row r="202" spans="1:114" s="46" customFormat="1" ht="13.5" customHeight="1">
      <c r="A202" s="263"/>
      <c r="B202" s="264"/>
      <c r="C202" s="21"/>
      <c r="D202" s="60"/>
      <c r="E202" s="103"/>
      <c r="F202" s="9"/>
      <c r="G202" s="41"/>
      <c r="H202" s="8"/>
      <c r="I202" s="8"/>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row>
    <row r="203" spans="1:114" s="46" customFormat="1" ht="16.5" customHeight="1">
      <c r="A203" s="259"/>
      <c r="B203" s="257"/>
      <c r="C203" s="21"/>
      <c r="D203" s="60"/>
      <c r="E203" s="59"/>
      <c r="F203" s="12"/>
      <c r="G203" s="41"/>
      <c r="H203" s="5"/>
      <c r="I203" s="14"/>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row>
    <row r="204" spans="1:114" s="46" customFormat="1" ht="23.25" customHeight="1">
      <c r="A204" s="153" t="s">
        <v>15</v>
      </c>
      <c r="B204" s="22">
        <v>0</v>
      </c>
      <c r="C204" s="2"/>
      <c r="D204" s="23">
        <f>SUM(D201:D203)</f>
        <v>413673.75</v>
      </c>
      <c r="E204" s="22"/>
      <c r="F204" s="9">
        <v>0</v>
      </c>
      <c r="G204" s="41"/>
      <c r="H204" s="50">
        <f>SUM(H203)</f>
        <v>0</v>
      </c>
      <c r="I204" s="8"/>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row>
    <row r="205" spans="1:114" s="46" customFormat="1" ht="95.25" customHeight="1">
      <c r="A205" s="254" t="s">
        <v>47</v>
      </c>
      <c r="B205" s="261">
        <v>806</v>
      </c>
      <c r="C205" s="152" t="s">
        <v>230</v>
      </c>
      <c r="D205" s="82">
        <v>61053.85</v>
      </c>
      <c r="E205" s="105" t="s">
        <v>87</v>
      </c>
      <c r="F205" s="6"/>
      <c r="G205" s="41"/>
      <c r="H205" s="57"/>
      <c r="I205" s="14"/>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row>
    <row r="206" spans="1:114" s="46" customFormat="1" ht="31.5" customHeight="1">
      <c r="A206" s="260"/>
      <c r="B206" s="262"/>
      <c r="C206" s="152" t="s">
        <v>134</v>
      </c>
      <c r="D206" s="82">
        <v>4320</v>
      </c>
      <c r="E206" s="122" t="s">
        <v>117</v>
      </c>
      <c r="F206" s="6"/>
      <c r="G206" s="41"/>
      <c r="H206" s="57"/>
      <c r="I206" s="14"/>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row>
    <row r="207" spans="1:114" s="46" customFormat="1" ht="21" customHeight="1">
      <c r="A207" s="255"/>
      <c r="B207" s="265"/>
      <c r="C207" s="156" t="s">
        <v>196</v>
      </c>
      <c r="D207" s="82"/>
      <c r="E207" s="16"/>
      <c r="F207" s="6"/>
      <c r="G207" s="41"/>
      <c r="H207" s="57"/>
      <c r="I207" s="14"/>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row>
    <row r="208" spans="1:114" s="46" customFormat="1" ht="24.75" customHeight="1">
      <c r="A208" s="153" t="s">
        <v>15</v>
      </c>
      <c r="B208" s="22">
        <f>B205</f>
        <v>806</v>
      </c>
      <c r="C208" s="2"/>
      <c r="D208" s="23">
        <f>SUM(D205:D207)</f>
        <v>65373.85</v>
      </c>
      <c r="E208" s="22"/>
      <c r="F208" s="9"/>
      <c r="G208" s="41"/>
      <c r="H208" s="8">
        <f>H205</f>
        <v>0</v>
      </c>
      <c r="I208" s="8"/>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row>
    <row r="209" spans="1:114" s="46" customFormat="1" ht="24.75" customHeight="1">
      <c r="A209" s="254" t="s">
        <v>36</v>
      </c>
      <c r="B209" s="256"/>
      <c r="C209" s="21" t="s">
        <v>208</v>
      </c>
      <c r="D209" s="60">
        <v>24.3</v>
      </c>
      <c r="E209" s="105" t="s">
        <v>87</v>
      </c>
      <c r="F209" s="9"/>
      <c r="G209" s="41"/>
      <c r="H209" s="8"/>
      <c r="I209" s="8"/>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row>
    <row r="210" spans="1:114" s="46" customFormat="1" ht="15.75" customHeight="1">
      <c r="A210" s="255"/>
      <c r="B210" s="257"/>
      <c r="C210" s="152"/>
      <c r="D210" s="82"/>
      <c r="E210" s="16"/>
      <c r="F210" s="6"/>
      <c r="G210" s="41"/>
      <c r="H210" s="57"/>
      <c r="I210" s="14"/>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row>
    <row r="211" spans="1:114" s="46" customFormat="1" ht="20.25" customHeight="1">
      <c r="A211" s="153" t="s">
        <v>15</v>
      </c>
      <c r="B211" s="22">
        <f>B210</f>
        <v>0</v>
      </c>
      <c r="C211" s="2"/>
      <c r="D211" s="23">
        <f>SUM(D209:D210)</f>
        <v>24.3</v>
      </c>
      <c r="E211" s="22"/>
      <c r="F211" s="9"/>
      <c r="G211" s="41"/>
      <c r="H211" s="8">
        <f>H210</f>
        <v>0</v>
      </c>
      <c r="I211" s="8"/>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row>
    <row r="212" spans="1:114" s="46" customFormat="1" ht="80.25" customHeight="1">
      <c r="A212" s="254" t="s">
        <v>43</v>
      </c>
      <c r="B212" s="256"/>
      <c r="C212" s="152" t="s">
        <v>201</v>
      </c>
      <c r="D212" s="59">
        <v>56007.19</v>
      </c>
      <c r="E212" s="105" t="s">
        <v>87</v>
      </c>
      <c r="F212" s="9"/>
      <c r="G212" s="41"/>
      <c r="H212" s="8"/>
      <c r="I212" s="8"/>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row>
    <row r="213" spans="1:114" s="46" customFormat="1" ht="30.75" customHeight="1">
      <c r="A213" s="255"/>
      <c r="B213" s="257"/>
      <c r="C213" s="152"/>
      <c r="D213" s="83"/>
      <c r="E213" s="16"/>
      <c r="F213" s="6"/>
      <c r="G213" s="41"/>
      <c r="H213" s="57"/>
      <c r="I213" s="14"/>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row>
    <row r="214" spans="1:114" s="46" customFormat="1" ht="23.25" customHeight="1">
      <c r="A214" s="153" t="s">
        <v>15</v>
      </c>
      <c r="B214" s="22">
        <f>B213</f>
        <v>0</v>
      </c>
      <c r="C214" s="2"/>
      <c r="D214" s="23">
        <f>SUM(D212:D213)</f>
        <v>56007.19</v>
      </c>
      <c r="E214" s="22"/>
      <c r="F214" s="9"/>
      <c r="G214" s="41"/>
      <c r="H214" s="8">
        <f>H213</f>
        <v>0</v>
      </c>
      <c r="I214" s="8"/>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row>
    <row r="215" spans="1:114" s="46" customFormat="1" ht="99.75" customHeight="1">
      <c r="A215" s="258" t="s">
        <v>52</v>
      </c>
      <c r="B215" s="256"/>
      <c r="C215" s="21" t="s">
        <v>230</v>
      </c>
      <c r="D215" s="60">
        <v>61053.85</v>
      </c>
      <c r="E215" s="105" t="s">
        <v>87</v>
      </c>
      <c r="F215" s="9"/>
      <c r="G215" s="41"/>
      <c r="H215" s="8"/>
      <c r="I215" s="8"/>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row>
    <row r="216" spans="1:114" s="46" customFormat="1" ht="28.5" customHeight="1">
      <c r="A216" s="259"/>
      <c r="B216" s="257"/>
      <c r="C216" s="21" t="s">
        <v>135</v>
      </c>
      <c r="D216" s="82">
        <v>4320</v>
      </c>
      <c r="E216" s="16" t="s">
        <v>117</v>
      </c>
      <c r="F216" s="9"/>
      <c r="G216" s="41"/>
      <c r="H216" s="57"/>
      <c r="I216" s="14"/>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row>
    <row r="217" spans="1:114" s="46" customFormat="1" ht="29.25" customHeight="1">
      <c r="A217" s="153" t="s">
        <v>15</v>
      </c>
      <c r="B217" s="22">
        <f>B216</f>
        <v>0</v>
      </c>
      <c r="C217" s="2"/>
      <c r="D217" s="23">
        <f>SUM(D215:D216)</f>
        <v>65373.85</v>
      </c>
      <c r="E217" s="22"/>
      <c r="F217" s="9"/>
      <c r="G217" s="41"/>
      <c r="H217" s="8">
        <f>H216</f>
        <v>0</v>
      </c>
      <c r="I217" s="8"/>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row>
    <row r="218" spans="1:114" s="46" customFormat="1" ht="39.75" customHeight="1">
      <c r="A218" s="78" t="s">
        <v>50</v>
      </c>
      <c r="B218" s="59"/>
      <c r="C218" s="21" t="s">
        <v>231</v>
      </c>
      <c r="D218" s="148">
        <v>85864.3</v>
      </c>
      <c r="E218" s="105" t="s">
        <v>87</v>
      </c>
      <c r="F218" s="6"/>
      <c r="G218" s="41"/>
      <c r="H218" s="57"/>
      <c r="I218" s="14"/>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row>
    <row r="219" spans="1:114" s="46" customFormat="1" ht="24.75" customHeight="1">
      <c r="A219" s="153" t="s">
        <v>15</v>
      </c>
      <c r="B219" s="22">
        <f>SUM(B218)</f>
        <v>0</v>
      </c>
      <c r="C219" s="2"/>
      <c r="D219" s="23">
        <f>D218</f>
        <v>85864.3</v>
      </c>
      <c r="E219" s="22"/>
      <c r="F219" s="9"/>
      <c r="G219" s="41"/>
      <c r="H219" s="8">
        <f>H218</f>
        <v>0</v>
      </c>
      <c r="I219" s="8"/>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row>
    <row r="220" spans="1:114" s="46" customFormat="1" ht="63">
      <c r="A220" s="254" t="s">
        <v>42</v>
      </c>
      <c r="B220" s="256"/>
      <c r="C220" s="21" t="s">
        <v>232</v>
      </c>
      <c r="D220" s="60">
        <v>56206.04</v>
      </c>
      <c r="E220" s="105" t="s">
        <v>87</v>
      </c>
      <c r="F220" s="9"/>
      <c r="G220" s="41"/>
      <c r="H220" s="8"/>
      <c r="I220" s="8"/>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row>
    <row r="221" spans="1:114" s="46" customFormat="1" ht="27.75" customHeight="1">
      <c r="A221" s="255"/>
      <c r="B221" s="257"/>
      <c r="C221" s="152" t="s">
        <v>122</v>
      </c>
      <c r="D221" s="82">
        <v>980</v>
      </c>
      <c r="E221" s="16" t="s">
        <v>108</v>
      </c>
      <c r="F221" s="6"/>
      <c r="G221" s="41"/>
      <c r="H221" s="57"/>
      <c r="I221" s="14"/>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row>
    <row r="222" spans="1:114" s="46" customFormat="1" ht="23.25" customHeight="1">
      <c r="A222" s="153" t="s">
        <v>15</v>
      </c>
      <c r="B222" s="22">
        <f>SUM(B220)</f>
        <v>0</v>
      </c>
      <c r="C222" s="2"/>
      <c r="D222" s="23">
        <f>SUM(D220:D221)</f>
        <v>57186.04</v>
      </c>
      <c r="E222" s="22"/>
      <c r="F222" s="9"/>
      <c r="G222" s="41"/>
      <c r="H222" s="8">
        <f>H221</f>
        <v>0</v>
      </c>
      <c r="I222" s="8"/>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row>
    <row r="223" spans="1:114" s="46" customFormat="1" ht="47.25">
      <c r="A223" s="254" t="s">
        <v>48</v>
      </c>
      <c r="B223" s="261"/>
      <c r="C223" s="152" t="s">
        <v>233</v>
      </c>
      <c r="D223" s="59">
        <v>51022.63</v>
      </c>
      <c r="E223" s="105" t="s">
        <v>87</v>
      </c>
      <c r="F223" s="6"/>
      <c r="G223" s="41"/>
      <c r="H223" s="57"/>
      <c r="I223" s="14"/>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row>
    <row r="224" spans="1:114" s="46" customFormat="1" ht="19.5" customHeight="1">
      <c r="A224" s="260"/>
      <c r="B224" s="262"/>
      <c r="C224" s="116"/>
      <c r="D224" s="59"/>
      <c r="E224" s="74"/>
      <c r="F224" s="6"/>
      <c r="G224" s="41"/>
      <c r="H224" s="8"/>
      <c r="I224" s="8"/>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5"/>
      <c r="CK224" s="45"/>
      <c r="CL224" s="45"/>
      <c r="CM224" s="45"/>
      <c r="CN224" s="45"/>
      <c r="CO224" s="45"/>
      <c r="CP224" s="45"/>
      <c r="CQ224" s="45"/>
      <c r="CR224" s="45"/>
      <c r="CS224" s="45"/>
      <c r="CT224" s="45"/>
      <c r="CU224" s="45"/>
      <c r="CV224" s="45"/>
      <c r="CW224" s="45"/>
      <c r="CX224" s="45"/>
      <c r="CY224" s="45"/>
      <c r="CZ224" s="45"/>
      <c r="DA224" s="45"/>
      <c r="DB224" s="45"/>
      <c r="DC224" s="45"/>
      <c r="DD224" s="45"/>
      <c r="DE224" s="45"/>
      <c r="DF224" s="45"/>
      <c r="DG224" s="45"/>
      <c r="DH224" s="45"/>
      <c r="DI224" s="45"/>
      <c r="DJ224" s="45"/>
    </row>
    <row r="225" spans="1:114" s="46" customFormat="1" ht="24" customHeight="1">
      <c r="A225" s="169" t="s">
        <v>15</v>
      </c>
      <c r="B225" s="22">
        <f>B223</f>
        <v>0</v>
      </c>
      <c r="C225" s="116"/>
      <c r="D225" s="22">
        <f>D223+D224</f>
        <v>51022.63</v>
      </c>
      <c r="E225" s="85"/>
      <c r="F225" s="6"/>
      <c r="G225" s="41"/>
      <c r="H225" s="8">
        <f>H223+H224</f>
        <v>0</v>
      </c>
      <c r="I225" s="8"/>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row>
    <row r="226" spans="1:114" s="46" customFormat="1" ht="39" customHeight="1">
      <c r="A226" s="78" t="s">
        <v>51</v>
      </c>
      <c r="B226" s="59"/>
      <c r="C226" s="152" t="s">
        <v>211</v>
      </c>
      <c r="D226" s="82">
        <v>24.3</v>
      </c>
      <c r="E226" s="105" t="s">
        <v>87</v>
      </c>
      <c r="F226" s="6"/>
      <c r="G226" s="41"/>
      <c r="H226" s="5"/>
      <c r="I226" s="14"/>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row>
    <row r="227" spans="1:114" s="46" customFormat="1" ht="24.75" customHeight="1" thickBot="1">
      <c r="A227" s="153" t="s">
        <v>15</v>
      </c>
      <c r="B227" s="39">
        <f>B226</f>
        <v>0</v>
      </c>
      <c r="C227" s="2"/>
      <c r="D227" s="89">
        <f>D226</f>
        <v>24.3</v>
      </c>
      <c r="E227" s="22"/>
      <c r="F227" s="9"/>
      <c r="G227" s="41"/>
      <c r="H227" s="50">
        <f>H226</f>
        <v>0</v>
      </c>
      <c r="I227" s="8"/>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row>
    <row r="228" spans="1:114" s="67" customFormat="1" ht="60.75" customHeight="1" thickBot="1">
      <c r="A228" s="163" t="s">
        <v>57</v>
      </c>
      <c r="B228" s="22">
        <f>SUM(B217+B88+B93+B96+B101+B110+B127+B130+B137+B148+B154+B225+B160+B163+B166+B172+B179+B183+B192+B195+B200+B208+B211+B214+B219+B222+B227)</f>
        <v>35509.01</v>
      </c>
      <c r="C228" s="22"/>
      <c r="D228" s="101">
        <f>SUM(D217+D88+D93+D225+D96+D101+D110+D127+D130+D137+D148+D154+D160+D163+D166+D172+D179+D183+D192+D195+D200+D208+D211+D214+D219+D222+D227+D204)</f>
        <v>10703658.470000003</v>
      </c>
      <c r="E228" s="22">
        <f>SUM(E217+E75+E78+E88+E93+E225+E96+E101+E110+E127+E130+E137+E148+E154+E160+E163+E166+E172+E179+E183+E192+E195+E200+E208+E211+E214+E219+E222+E227)</f>
        <v>0</v>
      </c>
      <c r="F228" s="22">
        <f>SUM(F217+F75+F78+F88+F93+F225+F96+F101+F110+F127+F130+F137+F148+F154+F160+F163+F166+F172+F179+F183+F192+F195+F200+F208+F211+F214+F219+F222+F227)</f>
        <v>0</v>
      </c>
      <c r="G228" s="22">
        <f>SUM(G217+G75+G78+G88+G93+G225+G96+G101+G110+G127+G130+G137+G148+G154+G160+G163+G166+G172+G179+G183+G192+G195+G200+G208+G211+G214+G219+G222+G227)</f>
        <v>0</v>
      </c>
      <c r="H228" s="22">
        <f>SUM(H217+H75+H78+H88+H93+H225+H96+H101+H110+H127+H130+H137+H148+H154+H160+H163+H166+H172+H179+H183+H192+H195+H200+H208+H211+H214+H219+H222+H227)+H204</f>
        <v>0</v>
      </c>
      <c r="I228" s="22">
        <f>SUM(I217+I75+I78+I88+I93+I225+I96+I101+I110+I127+I130+I137+I148+I154+I160+I163+I166+I172+I179+I183+I192+I195+I200+I208+I211+I214+I219+I222+I227)</f>
        <v>0</v>
      </c>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c r="BI228" s="66"/>
      <c r="BJ228" s="66"/>
      <c r="BK228" s="66"/>
      <c r="BL228" s="66"/>
      <c r="BM228" s="66"/>
      <c r="BN228" s="66"/>
      <c r="BO228" s="66"/>
      <c r="BP228" s="66"/>
      <c r="BQ228" s="66"/>
      <c r="BR228" s="66"/>
      <c r="BS228" s="66"/>
      <c r="BT228" s="66"/>
      <c r="BU228" s="66"/>
      <c r="BV228" s="66"/>
      <c r="BW228" s="66"/>
      <c r="BX228" s="66"/>
      <c r="BY228" s="66"/>
      <c r="BZ228" s="66"/>
      <c r="CA228" s="66"/>
      <c r="CB228" s="66"/>
      <c r="CC228" s="66"/>
      <c r="CD228" s="66"/>
      <c r="CE228" s="66"/>
      <c r="CF228" s="66"/>
      <c r="CG228" s="66"/>
      <c r="CH228" s="66"/>
      <c r="CI228" s="66"/>
      <c r="CJ228" s="66"/>
      <c r="CK228" s="66"/>
      <c r="CL228" s="66"/>
      <c r="CM228" s="66"/>
      <c r="CN228" s="66"/>
      <c r="CO228" s="66"/>
      <c r="CP228" s="66"/>
      <c r="CQ228" s="66"/>
      <c r="CR228" s="66"/>
      <c r="CS228" s="66"/>
      <c r="CT228" s="66"/>
      <c r="CU228" s="66"/>
      <c r="CV228" s="66"/>
      <c r="CW228" s="66"/>
      <c r="CX228" s="66"/>
      <c r="CY228" s="66"/>
      <c r="CZ228" s="66"/>
      <c r="DA228" s="66"/>
      <c r="DB228" s="66"/>
      <c r="DC228" s="66"/>
      <c r="DD228" s="66"/>
      <c r="DE228" s="66"/>
      <c r="DF228" s="66"/>
      <c r="DG228" s="66"/>
      <c r="DH228" s="66"/>
      <c r="DI228" s="66"/>
      <c r="DJ228" s="66"/>
    </row>
    <row r="229" spans="1:114" s="67" customFormat="1" ht="79.5" customHeight="1" thickBot="1">
      <c r="A229" s="153" t="s">
        <v>58</v>
      </c>
      <c r="B229" s="23">
        <f>SUM(B79+B228)</f>
        <v>94203.01000000001</v>
      </c>
      <c r="C229" s="23"/>
      <c r="D229" s="23">
        <f aca="true" t="shared" si="0" ref="D229:I229">SUM(D79+D228)</f>
        <v>11380991.260000002</v>
      </c>
      <c r="E229" s="23">
        <f t="shared" si="0"/>
        <v>0</v>
      </c>
      <c r="F229" s="23">
        <f t="shared" si="0"/>
        <v>0</v>
      </c>
      <c r="G229" s="23">
        <f t="shared" si="0"/>
        <v>0</v>
      </c>
      <c r="H229" s="23">
        <f t="shared" si="0"/>
        <v>0</v>
      </c>
      <c r="I229" s="23">
        <f t="shared" si="0"/>
        <v>0</v>
      </c>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c r="BI229" s="66"/>
      <c r="BJ229" s="66"/>
      <c r="BK229" s="66"/>
      <c r="BL229" s="66"/>
      <c r="BM229" s="66"/>
      <c r="BN229" s="66"/>
      <c r="BO229" s="66"/>
      <c r="BP229" s="66"/>
      <c r="BQ229" s="66"/>
      <c r="BR229" s="66"/>
      <c r="BS229" s="66"/>
      <c r="BT229" s="66"/>
      <c r="BU229" s="66"/>
      <c r="BV229" s="66"/>
      <c r="BW229" s="66"/>
      <c r="BX229" s="66"/>
      <c r="BY229" s="66"/>
      <c r="BZ229" s="66"/>
      <c r="CA229" s="66"/>
      <c r="CB229" s="66"/>
      <c r="CC229" s="66"/>
      <c r="CD229" s="66"/>
      <c r="CE229" s="66"/>
      <c r="CF229" s="66"/>
      <c r="CG229" s="66"/>
      <c r="CH229" s="66"/>
      <c r="CI229" s="66"/>
      <c r="CJ229" s="66"/>
      <c r="CK229" s="66"/>
      <c r="CL229" s="66"/>
      <c r="CM229" s="66"/>
      <c r="CN229" s="66"/>
      <c r="CO229" s="66"/>
      <c r="CP229" s="66"/>
      <c r="CQ229" s="66"/>
      <c r="CR229" s="66"/>
      <c r="CS229" s="66"/>
      <c r="CT229" s="66"/>
      <c r="CU229" s="66"/>
      <c r="CV229" s="66"/>
      <c r="CW229" s="66"/>
      <c r="CX229" s="66"/>
      <c r="CY229" s="66"/>
      <c r="CZ229" s="66"/>
      <c r="DA229" s="66"/>
      <c r="DB229" s="66"/>
      <c r="DC229" s="66"/>
      <c r="DD229" s="66"/>
      <c r="DE229" s="66"/>
      <c r="DF229" s="66"/>
      <c r="DG229" s="66"/>
      <c r="DH229" s="66"/>
      <c r="DI229" s="66"/>
      <c r="DJ229" s="66"/>
    </row>
    <row r="230" spans="1:114" s="70" customFormat="1" ht="9.75" customHeight="1" hidden="1">
      <c r="A230" s="68"/>
      <c r="B230" s="68"/>
      <c r="C230" s="68"/>
      <c r="D230" s="90"/>
      <c r="E230" s="71"/>
      <c r="F230" s="69"/>
      <c r="G230" s="69"/>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4"/>
      <c r="CS230" s="34"/>
      <c r="CT230" s="34"/>
      <c r="CU230" s="34"/>
      <c r="CV230" s="34"/>
      <c r="CW230" s="34"/>
      <c r="CX230" s="34"/>
      <c r="CY230" s="34"/>
      <c r="CZ230" s="34"/>
      <c r="DA230" s="34"/>
      <c r="DB230" s="34"/>
      <c r="DC230" s="34"/>
      <c r="DD230" s="34"/>
      <c r="DE230" s="34"/>
      <c r="DF230" s="34"/>
      <c r="DG230" s="34"/>
      <c r="DH230" s="34"/>
      <c r="DI230" s="34"/>
      <c r="DJ230" s="34"/>
    </row>
    <row r="231" spans="1:114" s="70" customFormat="1" ht="34.5" customHeight="1">
      <c r="A231" s="71" t="s">
        <v>59</v>
      </c>
      <c r="B231" s="71"/>
      <c r="C231" s="71"/>
      <c r="D231" s="90"/>
      <c r="E231" s="71" t="s">
        <v>24</v>
      </c>
      <c r="F231" s="69"/>
      <c r="G231" s="25" t="s">
        <v>61</v>
      </c>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c r="CR231" s="34"/>
      <c r="CS231" s="34"/>
      <c r="CT231" s="34"/>
      <c r="CU231" s="34"/>
      <c r="CV231" s="34"/>
      <c r="CW231" s="34"/>
      <c r="CX231" s="34"/>
      <c r="CY231" s="34"/>
      <c r="CZ231" s="34"/>
      <c r="DA231" s="34"/>
      <c r="DB231" s="34"/>
      <c r="DC231" s="34"/>
      <c r="DD231" s="34"/>
      <c r="DE231" s="34"/>
      <c r="DF231" s="34"/>
      <c r="DG231" s="34"/>
      <c r="DH231" s="34"/>
      <c r="DI231" s="34"/>
      <c r="DJ231" s="34"/>
    </row>
    <row r="232" spans="1:9" ht="20.25" customHeight="1">
      <c r="A232" s="68" t="s">
        <v>25</v>
      </c>
      <c r="B232" s="68"/>
      <c r="C232" s="26"/>
      <c r="D232" s="91"/>
      <c r="E232" s="95"/>
      <c r="F232" s="24"/>
      <c r="G232" s="24" t="s">
        <v>84</v>
      </c>
      <c r="H232" s="13"/>
      <c r="I232" s="13"/>
    </row>
    <row r="233" spans="1:10" ht="26.25" customHeight="1">
      <c r="A233" s="26" t="s">
        <v>62</v>
      </c>
      <c r="B233" s="26"/>
      <c r="C233" s="26"/>
      <c r="D233" s="90"/>
      <c r="E233" s="93"/>
      <c r="F233" s="72"/>
      <c r="G233" s="72"/>
      <c r="H233" s="13"/>
      <c r="I233" s="47"/>
      <c r="J233" s="13" t="s">
        <v>60</v>
      </c>
    </row>
    <row r="234" spans="1:9" ht="20.25" customHeight="1">
      <c r="A234" s="26"/>
      <c r="B234" s="26"/>
      <c r="C234" s="26"/>
      <c r="D234" s="90"/>
      <c r="E234" s="93"/>
      <c r="F234" s="72"/>
      <c r="G234" s="72"/>
      <c r="H234" s="13"/>
      <c r="I234" s="13"/>
    </row>
    <row r="235" spans="1:9" ht="12" customHeight="1">
      <c r="A235" s="27"/>
      <c r="B235" s="27"/>
      <c r="C235" s="27"/>
      <c r="D235" s="92"/>
      <c r="E235" s="27"/>
      <c r="F235" s="13"/>
      <c r="G235" s="13"/>
      <c r="H235" s="13"/>
      <c r="I235" s="13"/>
    </row>
    <row r="236" spans="1:9" ht="15.75">
      <c r="A236" s="27"/>
      <c r="B236" s="27"/>
      <c r="C236" s="27"/>
      <c r="D236" s="92"/>
      <c r="E236" s="27"/>
      <c r="F236" s="13"/>
      <c r="G236" s="13"/>
      <c r="H236" s="13"/>
      <c r="I236" s="13"/>
    </row>
    <row r="237" spans="1:9" ht="15.75">
      <c r="A237" s="27"/>
      <c r="B237" s="27"/>
      <c r="C237" s="27"/>
      <c r="D237" s="92"/>
      <c r="E237" s="27"/>
      <c r="F237" s="13"/>
      <c r="G237" s="13"/>
      <c r="H237" s="13"/>
      <c r="I237" s="13"/>
    </row>
  </sheetData>
  <sheetProtection/>
  <mergeCells count="140">
    <mergeCell ref="A215:A216"/>
    <mergeCell ref="B215:B216"/>
    <mergeCell ref="A220:A221"/>
    <mergeCell ref="B220:B221"/>
    <mergeCell ref="A223:A224"/>
    <mergeCell ref="B223:B224"/>
    <mergeCell ref="A205:A207"/>
    <mergeCell ref="B205:B207"/>
    <mergeCell ref="A209:A210"/>
    <mergeCell ref="B209:B210"/>
    <mergeCell ref="A212:A213"/>
    <mergeCell ref="B212:B213"/>
    <mergeCell ref="A196:A199"/>
    <mergeCell ref="B196:B199"/>
    <mergeCell ref="F196:F199"/>
    <mergeCell ref="G196:G199"/>
    <mergeCell ref="A201:A203"/>
    <mergeCell ref="B201:B203"/>
    <mergeCell ref="A184:A191"/>
    <mergeCell ref="B184:B191"/>
    <mergeCell ref="F186:F191"/>
    <mergeCell ref="G186:G191"/>
    <mergeCell ref="A193:A194"/>
    <mergeCell ref="B193:B194"/>
    <mergeCell ref="F193:F194"/>
    <mergeCell ref="G193:G194"/>
    <mergeCell ref="A173:A178"/>
    <mergeCell ref="B173:B178"/>
    <mergeCell ref="F176:F178"/>
    <mergeCell ref="G176:G178"/>
    <mergeCell ref="A180:A182"/>
    <mergeCell ref="B180:B182"/>
    <mergeCell ref="C180:C181"/>
    <mergeCell ref="F180:F182"/>
    <mergeCell ref="G180:G182"/>
    <mergeCell ref="A164:A165"/>
    <mergeCell ref="B164:B165"/>
    <mergeCell ref="F164:F165"/>
    <mergeCell ref="G164:G165"/>
    <mergeCell ref="A167:A171"/>
    <mergeCell ref="B167:B171"/>
    <mergeCell ref="F167:F171"/>
    <mergeCell ref="G167:G171"/>
    <mergeCell ref="A155:A159"/>
    <mergeCell ref="B155:B159"/>
    <mergeCell ref="F155:F159"/>
    <mergeCell ref="G155:G159"/>
    <mergeCell ref="A161:A162"/>
    <mergeCell ref="B161:B162"/>
    <mergeCell ref="A138:A147"/>
    <mergeCell ref="B138:B147"/>
    <mergeCell ref="F138:F147"/>
    <mergeCell ref="G138:G147"/>
    <mergeCell ref="A149:A153"/>
    <mergeCell ref="B149:B153"/>
    <mergeCell ref="F149:F153"/>
    <mergeCell ref="G149:G153"/>
    <mergeCell ref="A128:A129"/>
    <mergeCell ref="B128:B129"/>
    <mergeCell ref="F128:F129"/>
    <mergeCell ref="G128:G129"/>
    <mergeCell ref="A131:A136"/>
    <mergeCell ref="B131:B136"/>
    <mergeCell ref="F131:F136"/>
    <mergeCell ref="G131:G136"/>
    <mergeCell ref="A102:A109"/>
    <mergeCell ref="B102:B109"/>
    <mergeCell ref="F105:F109"/>
    <mergeCell ref="G105:G109"/>
    <mergeCell ref="A121:A126"/>
    <mergeCell ref="B121:B126"/>
    <mergeCell ref="F124:F126"/>
    <mergeCell ref="G124:G126"/>
    <mergeCell ref="A94:A95"/>
    <mergeCell ref="B94:B95"/>
    <mergeCell ref="F94:F95"/>
    <mergeCell ref="G94:G95"/>
    <mergeCell ref="A97:A100"/>
    <mergeCell ref="B97:B100"/>
    <mergeCell ref="F97:F100"/>
    <mergeCell ref="G97:G100"/>
    <mergeCell ref="A80:A87"/>
    <mergeCell ref="B80:B87"/>
    <mergeCell ref="A89:A92"/>
    <mergeCell ref="B89:B92"/>
    <mergeCell ref="F89:F92"/>
    <mergeCell ref="G89:G92"/>
    <mergeCell ref="A69:A71"/>
    <mergeCell ref="B69:B71"/>
    <mergeCell ref="A73:A74"/>
    <mergeCell ref="B73:B74"/>
    <mergeCell ref="A76:A77"/>
    <mergeCell ref="B76:B77"/>
    <mergeCell ref="A60:A61"/>
    <mergeCell ref="B60:B61"/>
    <mergeCell ref="A63:A64"/>
    <mergeCell ref="B63:B64"/>
    <mergeCell ref="A66:A67"/>
    <mergeCell ref="B66:B67"/>
    <mergeCell ref="A49:A50"/>
    <mergeCell ref="B49:B50"/>
    <mergeCell ref="A52:A55"/>
    <mergeCell ref="B52:B55"/>
    <mergeCell ref="A57:A58"/>
    <mergeCell ref="B57:B58"/>
    <mergeCell ref="A39:A40"/>
    <mergeCell ref="B39:B40"/>
    <mergeCell ref="A42:A44"/>
    <mergeCell ref="B42:B44"/>
    <mergeCell ref="A46:A47"/>
    <mergeCell ref="B46:B47"/>
    <mergeCell ref="F32:F33"/>
    <mergeCell ref="G32:G33"/>
    <mergeCell ref="H32:H33"/>
    <mergeCell ref="I32:I33"/>
    <mergeCell ref="A36:A37"/>
    <mergeCell ref="B36:B37"/>
    <mergeCell ref="A25:A26"/>
    <mergeCell ref="B25:B26"/>
    <mergeCell ref="A28:A30"/>
    <mergeCell ref="B28:B30"/>
    <mergeCell ref="A32:A34"/>
    <mergeCell ref="B32:B34"/>
    <mergeCell ref="H9:I10"/>
    <mergeCell ref="A12:A14"/>
    <mergeCell ref="B12:B14"/>
    <mergeCell ref="A16:A19"/>
    <mergeCell ref="B16:B19"/>
    <mergeCell ref="A21:A24"/>
    <mergeCell ref="B21:B23"/>
    <mergeCell ref="G4:I4"/>
    <mergeCell ref="A5:I5"/>
    <mergeCell ref="A6:I6"/>
    <mergeCell ref="A7:I7"/>
    <mergeCell ref="A8:A11"/>
    <mergeCell ref="B8:E8"/>
    <mergeCell ref="F8:I8"/>
    <mergeCell ref="B9:C10"/>
    <mergeCell ref="D9:E10"/>
    <mergeCell ref="F9:G10"/>
  </mergeCells>
  <printOptions/>
  <pageMargins left="0.31496062992125984" right="0.31496062992125984" top="0.35433070866141736" bottom="0.15748031496062992" header="0.31496062992125984" footer="0.31496062992125984"/>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DJ241"/>
  <sheetViews>
    <sheetView zoomScalePageLayoutView="0" workbookViewId="0" topLeftCell="A8">
      <pane xSplit="1" ySplit="4" topLeftCell="B230" activePane="bottomRight" state="frozen"/>
      <selection pane="topLeft" activeCell="A8" sqref="A8"/>
      <selection pane="topRight" activeCell="B8" sqref="B8"/>
      <selection pane="bottomLeft" activeCell="A12" sqref="A12"/>
      <selection pane="bottomRight" activeCell="B233" sqref="B233:D233"/>
    </sheetView>
  </sheetViews>
  <sheetFormatPr defaultColWidth="25.7109375" defaultRowHeight="15"/>
  <cols>
    <col min="1" max="1" width="14.28125" style="28" customWidth="1"/>
    <col min="2" max="2" width="10.28125" style="28" customWidth="1"/>
    <col min="3" max="3" width="39.00390625" style="28" customWidth="1"/>
    <col min="4" max="4" width="14.57421875" style="73" customWidth="1"/>
    <col min="5" max="5" width="19.140625" style="28" customWidth="1"/>
    <col min="6" max="6" width="7.421875" style="1" customWidth="1"/>
    <col min="7" max="7" width="7.28125" style="1" customWidth="1"/>
    <col min="8" max="8" width="9.28125" style="1" customWidth="1"/>
    <col min="9" max="9" width="9.140625" style="1" customWidth="1"/>
    <col min="10" max="114" width="25.7109375" style="13" customWidth="1"/>
    <col min="115" max="16384" width="25.7109375" style="1" customWidth="1"/>
  </cols>
  <sheetData>
    <row r="1" spans="3:9" ht="18" customHeight="1">
      <c r="C1" s="28" t="s">
        <v>24</v>
      </c>
      <c r="F1" s="29" t="s">
        <v>49</v>
      </c>
      <c r="I1" s="29"/>
    </row>
    <row r="2" spans="6:9" ht="18" customHeight="1">
      <c r="F2" s="29" t="s">
        <v>45</v>
      </c>
      <c r="I2" s="29"/>
    </row>
    <row r="3" spans="6:9" ht="16.5" customHeight="1">
      <c r="F3" s="29" t="s">
        <v>46</v>
      </c>
      <c r="I3" s="29"/>
    </row>
    <row r="4" spans="7:9" ht="15.75">
      <c r="G4" s="297"/>
      <c r="H4" s="297"/>
      <c r="I4" s="297"/>
    </row>
    <row r="5" spans="1:9" ht="15.75">
      <c r="A5" s="298" t="s">
        <v>19</v>
      </c>
      <c r="B5" s="298"/>
      <c r="C5" s="298"/>
      <c r="D5" s="298"/>
      <c r="E5" s="298"/>
      <c r="F5" s="298"/>
      <c r="G5" s="298"/>
      <c r="H5" s="298"/>
      <c r="I5" s="298"/>
    </row>
    <row r="6" spans="1:9" ht="15.75">
      <c r="A6" s="298" t="s">
        <v>234</v>
      </c>
      <c r="B6" s="298"/>
      <c r="C6" s="298"/>
      <c r="D6" s="298"/>
      <c r="E6" s="298"/>
      <c r="F6" s="298"/>
      <c r="G6" s="298"/>
      <c r="H6" s="298"/>
      <c r="I6" s="298"/>
    </row>
    <row r="7" spans="1:9" ht="26.25" customHeight="1">
      <c r="A7" s="298" t="s">
        <v>20</v>
      </c>
      <c r="B7" s="298"/>
      <c r="C7" s="298"/>
      <c r="D7" s="298"/>
      <c r="E7" s="298"/>
      <c r="F7" s="298"/>
      <c r="G7" s="298"/>
      <c r="H7" s="298"/>
      <c r="I7" s="298"/>
    </row>
    <row r="8" spans="1:10" ht="30" customHeight="1">
      <c r="A8" s="299" t="s">
        <v>21</v>
      </c>
      <c r="B8" s="294" t="s">
        <v>0</v>
      </c>
      <c r="C8" s="294"/>
      <c r="D8" s="294"/>
      <c r="E8" s="294"/>
      <c r="F8" s="294" t="s">
        <v>1</v>
      </c>
      <c r="G8" s="294"/>
      <c r="H8" s="294"/>
      <c r="I8" s="294"/>
      <c r="J8" s="36"/>
    </row>
    <row r="9" spans="1:10" ht="13.5" customHeight="1">
      <c r="A9" s="299"/>
      <c r="B9" s="299" t="s">
        <v>2</v>
      </c>
      <c r="C9" s="299"/>
      <c r="D9" s="299" t="s">
        <v>18</v>
      </c>
      <c r="E9" s="299"/>
      <c r="F9" s="294" t="s">
        <v>2</v>
      </c>
      <c r="G9" s="294"/>
      <c r="H9" s="294" t="s">
        <v>3</v>
      </c>
      <c r="I9" s="295"/>
      <c r="J9" s="36"/>
    </row>
    <row r="10" spans="1:10" ht="22.5" customHeight="1">
      <c r="A10" s="299"/>
      <c r="B10" s="299"/>
      <c r="C10" s="299"/>
      <c r="D10" s="299"/>
      <c r="E10" s="299"/>
      <c r="F10" s="294"/>
      <c r="G10" s="294"/>
      <c r="H10" s="295"/>
      <c r="I10" s="295"/>
      <c r="J10" s="36"/>
    </row>
    <row r="11" spans="1:10" ht="51" customHeight="1">
      <c r="A11" s="299"/>
      <c r="B11" s="16" t="s">
        <v>17</v>
      </c>
      <c r="C11" s="16" t="s">
        <v>4</v>
      </c>
      <c r="D11" s="16" t="s">
        <v>17</v>
      </c>
      <c r="E11" s="16" t="s">
        <v>5</v>
      </c>
      <c r="F11" s="14" t="s">
        <v>17</v>
      </c>
      <c r="G11" s="14" t="s">
        <v>4</v>
      </c>
      <c r="H11" s="14" t="s">
        <v>17</v>
      </c>
      <c r="I11" s="14" t="s">
        <v>6</v>
      </c>
      <c r="J11" s="36"/>
    </row>
    <row r="12" spans="1:10" ht="80.25" customHeight="1">
      <c r="A12" s="277" t="s">
        <v>63</v>
      </c>
      <c r="B12" s="296"/>
      <c r="C12" s="152" t="s">
        <v>201</v>
      </c>
      <c r="D12" s="59">
        <v>60991.75</v>
      </c>
      <c r="E12" s="105" t="s">
        <v>87</v>
      </c>
      <c r="F12" s="37"/>
      <c r="G12" s="32"/>
      <c r="H12" s="38"/>
      <c r="I12" s="15"/>
      <c r="J12" s="36"/>
    </row>
    <row r="13" spans="1:10" ht="36" customHeight="1">
      <c r="A13" s="277"/>
      <c r="B13" s="296"/>
      <c r="C13" s="116" t="s">
        <v>203</v>
      </c>
      <c r="D13" s="59">
        <v>18</v>
      </c>
      <c r="E13" s="105" t="s">
        <v>202</v>
      </c>
      <c r="F13" s="37"/>
      <c r="G13" s="32"/>
      <c r="H13" s="38"/>
      <c r="I13" s="15"/>
      <c r="J13" s="36"/>
    </row>
    <row r="14" spans="1:10" ht="38.25" customHeight="1">
      <c r="A14" s="277"/>
      <c r="B14" s="296"/>
      <c r="C14" s="149" t="s">
        <v>176</v>
      </c>
      <c r="D14" s="60">
        <f>1460+3740+384</f>
        <v>5584</v>
      </c>
      <c r="E14" s="105" t="s">
        <v>175</v>
      </c>
      <c r="F14" s="37"/>
      <c r="G14" s="32"/>
      <c r="H14" s="38"/>
      <c r="I14" s="30"/>
      <c r="J14" s="36"/>
    </row>
    <row r="15" spans="1:114" s="46" customFormat="1" ht="20.25" customHeight="1">
      <c r="A15" s="153" t="s">
        <v>14</v>
      </c>
      <c r="B15" s="39">
        <f>SUM(B12:B14)</f>
        <v>0</v>
      </c>
      <c r="C15" s="2"/>
      <c r="D15" s="79">
        <f>SUM(D12:D14)</f>
        <v>66593.75</v>
      </c>
      <c r="E15" s="76"/>
      <c r="F15" s="40"/>
      <c r="G15" s="41"/>
      <c r="H15" s="42">
        <f>SUM(H12:H14)</f>
        <v>0</v>
      </c>
      <c r="I15" s="31"/>
      <c r="J15" s="43"/>
      <c r="K15" s="44"/>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row>
    <row r="16" spans="1:11" ht="96.75" customHeight="1">
      <c r="A16" s="277" t="s">
        <v>64</v>
      </c>
      <c r="B16" s="278">
        <v>10924</v>
      </c>
      <c r="C16" s="152" t="s">
        <v>204</v>
      </c>
      <c r="D16" s="60">
        <v>65451.19</v>
      </c>
      <c r="E16" s="105" t="s">
        <v>87</v>
      </c>
      <c r="F16" s="37"/>
      <c r="G16" s="32"/>
      <c r="H16" s="30"/>
      <c r="I16" s="15"/>
      <c r="J16" s="36"/>
      <c r="K16" s="47"/>
    </row>
    <row r="17" spans="1:11" ht="49.5" customHeight="1">
      <c r="A17" s="277"/>
      <c r="B17" s="279"/>
      <c r="C17" s="116" t="s">
        <v>177</v>
      </c>
      <c r="D17" s="60"/>
      <c r="E17" s="105"/>
      <c r="F17" s="37"/>
      <c r="G17" s="32"/>
      <c r="H17" s="30"/>
      <c r="I17" s="15"/>
      <c r="J17" s="36"/>
      <c r="K17" s="47"/>
    </row>
    <row r="18" spans="1:11" ht="35.25" customHeight="1">
      <c r="A18" s="277"/>
      <c r="B18" s="279"/>
      <c r="C18" s="116" t="s">
        <v>203</v>
      </c>
      <c r="D18" s="59">
        <v>18</v>
      </c>
      <c r="E18" s="105" t="s">
        <v>202</v>
      </c>
      <c r="F18" s="37"/>
      <c r="G18" s="32"/>
      <c r="H18" s="30"/>
      <c r="I18" s="15"/>
      <c r="J18" s="36"/>
      <c r="K18" s="47"/>
    </row>
    <row r="19" spans="1:11" ht="37.5" customHeight="1">
      <c r="A19" s="277"/>
      <c r="B19" s="280"/>
      <c r="C19" s="149" t="s">
        <v>176</v>
      </c>
      <c r="D19" s="60">
        <f>1733.75+4080+432</f>
        <v>6245.75</v>
      </c>
      <c r="E19" s="105" t="s">
        <v>175</v>
      </c>
      <c r="F19" s="37"/>
      <c r="G19" s="32"/>
      <c r="H19" s="30"/>
      <c r="I19" s="30"/>
      <c r="J19" s="36"/>
      <c r="K19" s="47"/>
    </row>
    <row r="20" spans="1:114" s="46" customFormat="1" ht="22.5" customHeight="1">
      <c r="A20" s="153" t="s">
        <v>14</v>
      </c>
      <c r="B20" s="39">
        <f>SUM(B16)</f>
        <v>10924</v>
      </c>
      <c r="C20" s="152"/>
      <c r="D20" s="64">
        <f>SUM(D16:D19)</f>
        <v>71714.94</v>
      </c>
      <c r="E20" s="76"/>
      <c r="F20" s="40"/>
      <c r="G20" s="41"/>
      <c r="H20" s="31">
        <f>SUM(H16:H19)</f>
        <v>0</v>
      </c>
      <c r="I20" s="31"/>
      <c r="J20" s="43"/>
      <c r="K20" s="4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row>
    <row r="21" spans="1:114" s="46" customFormat="1" ht="31.5" customHeight="1">
      <c r="A21" s="277" t="s">
        <v>65</v>
      </c>
      <c r="B21" s="278"/>
      <c r="C21" s="152" t="s">
        <v>197</v>
      </c>
      <c r="D21" s="16">
        <v>33070.22</v>
      </c>
      <c r="E21" s="105" t="s">
        <v>206</v>
      </c>
      <c r="F21" s="40"/>
      <c r="G21" s="41"/>
      <c r="H21" s="30"/>
      <c r="I21" s="15"/>
      <c r="J21" s="43"/>
      <c r="K21" s="44"/>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row>
    <row r="22" spans="1:114" s="46" customFormat="1" ht="31.5" customHeight="1">
      <c r="A22" s="277"/>
      <c r="B22" s="279"/>
      <c r="C22" s="116" t="s">
        <v>207</v>
      </c>
      <c r="D22" s="60">
        <v>9468.3</v>
      </c>
      <c r="E22" s="105" t="s">
        <v>87</v>
      </c>
      <c r="F22" s="40"/>
      <c r="G22" s="41"/>
      <c r="H22" s="30"/>
      <c r="I22" s="15"/>
      <c r="J22" s="43"/>
      <c r="K22" s="44"/>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row>
    <row r="23" spans="1:114" s="46" customFormat="1" ht="31.5" customHeight="1">
      <c r="A23" s="277"/>
      <c r="B23" s="280"/>
      <c r="C23" s="116" t="s">
        <v>203</v>
      </c>
      <c r="D23" s="59">
        <v>18</v>
      </c>
      <c r="E23" s="105" t="s">
        <v>202</v>
      </c>
      <c r="F23" s="40"/>
      <c r="G23" s="41"/>
      <c r="H23" s="30"/>
      <c r="I23" s="15"/>
      <c r="J23" s="43"/>
      <c r="K23" s="44"/>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row>
    <row r="24" spans="1:114" s="46" customFormat="1" ht="20.25" customHeight="1">
      <c r="A24" s="277"/>
      <c r="B24" s="39">
        <f>SUM(B21)</f>
        <v>0</v>
      </c>
      <c r="C24" s="116"/>
      <c r="D24" s="77">
        <f>SUM(D21:D23)</f>
        <v>42556.520000000004</v>
      </c>
      <c r="E24" s="76"/>
      <c r="F24" s="48">
        <f>F21</f>
        <v>0</v>
      </c>
      <c r="G24" s="41"/>
      <c r="H24" s="31">
        <f>SUM(H21:H21)</f>
        <v>0</v>
      </c>
      <c r="I24" s="31"/>
      <c r="J24" s="43"/>
      <c r="K24" s="44"/>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row>
    <row r="25" spans="1:11" ht="28.5" customHeight="1">
      <c r="A25" s="254" t="s">
        <v>66</v>
      </c>
      <c r="B25" s="278">
        <v>1400</v>
      </c>
      <c r="C25" s="156" t="s">
        <v>208</v>
      </c>
      <c r="D25" s="60">
        <v>24.3</v>
      </c>
      <c r="E25" s="105" t="s">
        <v>87</v>
      </c>
      <c r="F25" s="37"/>
      <c r="G25" s="32"/>
      <c r="H25" s="30"/>
      <c r="I25" s="15"/>
      <c r="J25" s="36"/>
      <c r="K25" s="47"/>
    </row>
    <row r="26" spans="1:11" ht="29.25" customHeight="1">
      <c r="A26" s="255"/>
      <c r="B26" s="280"/>
      <c r="C26" s="175" t="s">
        <v>243</v>
      </c>
      <c r="D26" s="143"/>
      <c r="E26" s="122"/>
      <c r="F26" s="37"/>
      <c r="G26" s="32"/>
      <c r="H26" s="30"/>
      <c r="I26" s="30"/>
      <c r="J26" s="36"/>
      <c r="K26" s="47"/>
    </row>
    <row r="27" spans="1:114" s="46" customFormat="1" ht="25.5" customHeight="1">
      <c r="A27" s="153" t="s">
        <v>15</v>
      </c>
      <c r="B27" s="39">
        <f>B25</f>
        <v>1400</v>
      </c>
      <c r="C27" s="2"/>
      <c r="D27" s="79">
        <f>D26+D25</f>
        <v>24.3</v>
      </c>
      <c r="E27" s="80"/>
      <c r="F27" s="40"/>
      <c r="G27" s="41"/>
      <c r="H27" s="31">
        <f>SUM(H25:H26)</f>
        <v>0</v>
      </c>
      <c r="I27" s="31"/>
      <c r="J27" s="43"/>
      <c r="K27" s="44"/>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row>
    <row r="28" spans="1:114" s="46" customFormat="1" ht="96.75" customHeight="1">
      <c r="A28" s="254" t="s">
        <v>67</v>
      </c>
      <c r="B28" s="278"/>
      <c r="C28" s="152" t="s">
        <v>204</v>
      </c>
      <c r="D28" s="59">
        <v>70702.76</v>
      </c>
      <c r="E28" s="105" t="s">
        <v>87</v>
      </c>
      <c r="F28" s="40"/>
      <c r="G28" s="41"/>
      <c r="H28" s="30"/>
      <c r="I28" s="15"/>
      <c r="J28" s="43"/>
      <c r="K28" s="4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row>
    <row r="29" spans="1:114" s="46" customFormat="1" ht="33" customHeight="1">
      <c r="A29" s="260"/>
      <c r="B29" s="279"/>
      <c r="C29" s="116" t="s">
        <v>203</v>
      </c>
      <c r="D29" s="59">
        <v>18</v>
      </c>
      <c r="E29" s="105" t="s">
        <v>202</v>
      </c>
      <c r="F29" s="40"/>
      <c r="G29" s="41"/>
      <c r="H29" s="30"/>
      <c r="I29" s="15"/>
      <c r="J29" s="43"/>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row>
    <row r="30" spans="1:11" ht="38.25" customHeight="1">
      <c r="A30" s="255"/>
      <c r="B30" s="280"/>
      <c r="C30" s="149" t="s">
        <v>176</v>
      </c>
      <c r="D30" s="60">
        <f>1898+3740+432</f>
        <v>6070</v>
      </c>
      <c r="E30" s="105" t="s">
        <v>175</v>
      </c>
      <c r="F30" s="37"/>
      <c r="G30" s="32"/>
      <c r="H30" s="38"/>
      <c r="I30" s="32"/>
      <c r="J30" s="36"/>
      <c r="K30" s="47"/>
    </row>
    <row r="31" spans="1:114" s="46" customFormat="1" ht="19.5" customHeight="1">
      <c r="A31" s="153" t="s">
        <v>15</v>
      </c>
      <c r="B31" s="39">
        <f>B28</f>
        <v>0</v>
      </c>
      <c r="C31" s="152"/>
      <c r="D31" s="79">
        <f>SUM(D28:D30)</f>
        <v>76790.76</v>
      </c>
      <c r="E31" s="80"/>
      <c r="F31" s="40"/>
      <c r="G31" s="41"/>
      <c r="H31" s="42">
        <f>SUM(H28:H30)</f>
        <v>0</v>
      </c>
      <c r="I31" s="31"/>
      <c r="J31" s="43"/>
      <c r="K31" s="44"/>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row>
    <row r="32" spans="1:114" s="46" customFormat="1" ht="80.25" customHeight="1">
      <c r="A32" s="254" t="s">
        <v>68</v>
      </c>
      <c r="B32" s="278"/>
      <c r="C32" s="173" t="s">
        <v>204</v>
      </c>
      <c r="D32" s="59">
        <v>85389.43</v>
      </c>
      <c r="E32" s="105" t="s">
        <v>87</v>
      </c>
      <c r="F32" s="292"/>
      <c r="G32" s="293"/>
      <c r="H32" s="294"/>
      <c r="I32" s="294"/>
      <c r="J32" s="43"/>
      <c r="K32" s="44"/>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row>
    <row r="33" spans="1:114" s="46" customFormat="1" ht="39.75" customHeight="1">
      <c r="A33" s="260"/>
      <c r="B33" s="279"/>
      <c r="C33" s="149" t="s">
        <v>176</v>
      </c>
      <c r="D33" s="60">
        <f>1952.75+5100+432</f>
        <v>7484.75</v>
      </c>
      <c r="E33" s="105" t="s">
        <v>175</v>
      </c>
      <c r="F33" s="292"/>
      <c r="G33" s="293"/>
      <c r="H33" s="294"/>
      <c r="I33" s="294"/>
      <c r="J33" s="43"/>
      <c r="K33" s="4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row>
    <row r="34" spans="1:114" s="46" customFormat="1" ht="29.25" customHeight="1">
      <c r="A34" s="255"/>
      <c r="B34" s="280"/>
      <c r="C34" s="116" t="s">
        <v>203</v>
      </c>
      <c r="D34" s="59">
        <v>20</v>
      </c>
      <c r="E34" s="105" t="s">
        <v>202</v>
      </c>
      <c r="F34" s="6"/>
      <c r="G34" s="41"/>
      <c r="H34" s="33"/>
      <c r="I34" s="33"/>
      <c r="J34" s="43"/>
      <c r="K34" s="4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row>
    <row r="35" spans="1:114" s="46" customFormat="1" ht="22.5" customHeight="1">
      <c r="A35" s="153" t="s">
        <v>15</v>
      </c>
      <c r="B35" s="39">
        <f>SUM(B32:B33)</f>
        <v>0</v>
      </c>
      <c r="C35" s="159"/>
      <c r="D35" s="79">
        <f>SUM(D32:D34)</f>
        <v>92894.18</v>
      </c>
      <c r="E35" s="80"/>
      <c r="F35" s="50"/>
      <c r="G35" s="41"/>
      <c r="H35" s="33">
        <f>SUM(H32:H34)</f>
        <v>0</v>
      </c>
      <c r="I35" s="33"/>
      <c r="J35" s="43"/>
      <c r="K35" s="44"/>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row>
    <row r="36" spans="1:11" ht="27.75" customHeight="1">
      <c r="A36" s="254" t="s">
        <v>69</v>
      </c>
      <c r="B36" s="278"/>
      <c r="C36" s="116" t="s">
        <v>203</v>
      </c>
      <c r="D36" s="59">
        <v>18</v>
      </c>
      <c r="E36" s="105" t="s">
        <v>202</v>
      </c>
      <c r="F36" s="6"/>
      <c r="G36" s="32"/>
      <c r="H36" s="14"/>
      <c r="I36" s="14"/>
      <c r="J36" s="36"/>
      <c r="K36" s="47"/>
    </row>
    <row r="37" spans="1:11" ht="27.75" customHeight="1">
      <c r="A37" s="255"/>
      <c r="B37" s="280"/>
      <c r="C37" s="116" t="s">
        <v>208</v>
      </c>
      <c r="D37" s="60">
        <v>24.3</v>
      </c>
      <c r="E37" s="105" t="s">
        <v>87</v>
      </c>
      <c r="F37" s="6"/>
      <c r="G37" s="32"/>
      <c r="H37" s="14"/>
      <c r="I37" s="14"/>
      <c r="J37" s="36"/>
      <c r="K37" s="47"/>
    </row>
    <row r="38" spans="1:114" s="46" customFormat="1" ht="24" customHeight="1">
      <c r="A38" s="160" t="s">
        <v>15</v>
      </c>
      <c r="B38" s="39">
        <f>SUM(B36)</f>
        <v>0</v>
      </c>
      <c r="C38" s="159"/>
      <c r="D38" s="23">
        <f>SUM(D36:D37)</f>
        <v>42.3</v>
      </c>
      <c r="E38" s="139"/>
      <c r="F38" s="10"/>
      <c r="G38" s="41"/>
      <c r="H38" s="33">
        <f>SUM(H36:H37)</f>
        <v>0</v>
      </c>
      <c r="I38" s="33"/>
      <c r="J38" s="43"/>
      <c r="K38" s="44"/>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row>
    <row r="39" spans="1:114" s="46" customFormat="1" ht="48.75" customHeight="1">
      <c r="A39" s="254" t="s">
        <v>70</v>
      </c>
      <c r="B39" s="278"/>
      <c r="C39" s="152" t="s">
        <v>209</v>
      </c>
      <c r="D39" s="60">
        <v>55744.63</v>
      </c>
      <c r="E39" s="105" t="s">
        <v>87</v>
      </c>
      <c r="F39" s="10"/>
      <c r="G39" s="41"/>
      <c r="H39" s="33"/>
      <c r="I39" s="33"/>
      <c r="J39" s="43"/>
      <c r="K39" s="44"/>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row>
    <row r="40" spans="1:10" ht="29.25" customHeight="1">
      <c r="A40" s="255"/>
      <c r="B40" s="280"/>
      <c r="C40" s="116" t="s">
        <v>203</v>
      </c>
      <c r="D40" s="59">
        <v>18</v>
      </c>
      <c r="E40" s="105" t="s">
        <v>202</v>
      </c>
      <c r="F40" s="51"/>
      <c r="G40" s="32"/>
      <c r="H40" s="14"/>
      <c r="I40" s="14"/>
      <c r="J40" s="36"/>
    </row>
    <row r="41" spans="1:114" s="46" customFormat="1" ht="27.75" customHeight="1">
      <c r="A41" s="153" t="s">
        <v>15</v>
      </c>
      <c r="B41" s="39">
        <f>SUM(B39:B40)</f>
        <v>0</v>
      </c>
      <c r="C41" s="2"/>
      <c r="D41" s="23">
        <f>SUM(D39:D40)</f>
        <v>55762.63</v>
      </c>
      <c r="E41" s="82"/>
      <c r="F41" s="50"/>
      <c r="G41" s="41"/>
      <c r="H41" s="33">
        <f>SUM(H40:H40)</f>
        <v>0</v>
      </c>
      <c r="I41" s="33"/>
      <c r="J41" s="43"/>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row>
    <row r="42" spans="1:10" ht="81" customHeight="1">
      <c r="A42" s="254" t="s">
        <v>71</v>
      </c>
      <c r="B42" s="278"/>
      <c r="C42" s="173" t="s">
        <v>204</v>
      </c>
      <c r="D42" s="60">
        <v>80671.88</v>
      </c>
      <c r="E42" s="125" t="s">
        <v>87</v>
      </c>
      <c r="F42" s="51"/>
      <c r="G42" s="32"/>
      <c r="H42" s="14"/>
      <c r="I42" s="14"/>
      <c r="J42" s="36"/>
    </row>
    <row r="43" spans="1:10" ht="29.25" customHeight="1">
      <c r="A43" s="260"/>
      <c r="B43" s="279"/>
      <c r="C43" s="116" t="s">
        <v>203</v>
      </c>
      <c r="D43" s="59">
        <v>18</v>
      </c>
      <c r="E43" s="105" t="s">
        <v>202</v>
      </c>
      <c r="F43" s="51"/>
      <c r="G43" s="32"/>
      <c r="H43" s="14"/>
      <c r="I43" s="14"/>
      <c r="J43" s="36"/>
    </row>
    <row r="44" spans="1:10" ht="41.25" customHeight="1">
      <c r="A44" s="255"/>
      <c r="B44" s="280"/>
      <c r="C44" s="149" t="s">
        <v>176</v>
      </c>
      <c r="D44" s="60">
        <f>1952.75+5100+432</f>
        <v>7484.75</v>
      </c>
      <c r="E44" s="105" t="s">
        <v>175</v>
      </c>
      <c r="F44" s="51"/>
      <c r="G44" s="32"/>
      <c r="H44" s="14"/>
      <c r="I44" s="14"/>
      <c r="J44" s="36"/>
    </row>
    <row r="45" spans="1:114" s="46" customFormat="1" ht="27" customHeight="1">
      <c r="A45" s="153" t="s">
        <v>15</v>
      </c>
      <c r="B45" s="39">
        <f>SUM(B42:B43)</f>
        <v>0</v>
      </c>
      <c r="C45" s="116"/>
      <c r="D45" s="23">
        <f>SUM(D42:D44)</f>
        <v>88174.63</v>
      </c>
      <c r="E45" s="82"/>
      <c r="F45" s="50"/>
      <c r="G45" s="41"/>
      <c r="H45" s="33">
        <f>H42</f>
        <v>0</v>
      </c>
      <c r="I45" s="33"/>
      <c r="J45" s="43"/>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row>
    <row r="46" spans="1:114" s="46" customFormat="1" ht="30" customHeight="1">
      <c r="A46" s="254" t="s">
        <v>7</v>
      </c>
      <c r="B46" s="278"/>
      <c r="C46" s="152" t="s">
        <v>210</v>
      </c>
      <c r="D46" s="60">
        <v>4746.3</v>
      </c>
      <c r="E46" s="105" t="s">
        <v>87</v>
      </c>
      <c r="F46" s="50"/>
      <c r="G46" s="41"/>
      <c r="H46" s="14"/>
      <c r="I46" s="14"/>
      <c r="J46" s="43"/>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row>
    <row r="47" spans="1:10" ht="18" customHeight="1">
      <c r="A47" s="255"/>
      <c r="B47" s="280"/>
      <c r="C47" s="152"/>
      <c r="D47" s="60"/>
      <c r="E47" s="105"/>
      <c r="F47" s="6"/>
      <c r="G47" s="32"/>
      <c r="H47" s="14"/>
      <c r="I47" s="14"/>
      <c r="J47" s="36"/>
    </row>
    <row r="48" spans="1:114" s="46" customFormat="1" ht="23.25" customHeight="1">
      <c r="A48" s="153" t="s">
        <v>15</v>
      </c>
      <c r="B48" s="39">
        <f>SUM(B46)</f>
        <v>0</v>
      </c>
      <c r="C48" s="152"/>
      <c r="D48" s="22">
        <f>D47+D46</f>
        <v>4746.3</v>
      </c>
      <c r="E48" s="60"/>
      <c r="F48" s="50"/>
      <c r="G48" s="41"/>
      <c r="H48" s="33">
        <f>SUM(H46:H47)</f>
        <v>0</v>
      </c>
      <c r="I48" s="33"/>
      <c r="J48" s="43"/>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row>
    <row r="49" spans="1:114" s="46" customFormat="1" ht="26.25" customHeight="1">
      <c r="A49" s="254" t="s">
        <v>16</v>
      </c>
      <c r="B49" s="278"/>
      <c r="C49" s="159" t="s">
        <v>208</v>
      </c>
      <c r="D49" s="60">
        <v>24.3</v>
      </c>
      <c r="E49" s="105" t="s">
        <v>87</v>
      </c>
      <c r="F49" s="50"/>
      <c r="G49" s="41"/>
      <c r="H49" s="14"/>
      <c r="I49" s="14"/>
      <c r="J49" s="43"/>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row>
    <row r="50" spans="1:10" ht="16.5" customHeight="1">
      <c r="A50" s="255"/>
      <c r="B50" s="280"/>
      <c r="C50" s="159"/>
      <c r="D50" s="78"/>
      <c r="E50" s="59"/>
      <c r="F50" s="6"/>
      <c r="G50" s="32"/>
      <c r="H50" s="14"/>
      <c r="I50" s="14"/>
      <c r="J50" s="36"/>
    </row>
    <row r="51" spans="1:114" s="46" customFormat="1" ht="27.75" customHeight="1">
      <c r="A51" s="153" t="s">
        <v>15</v>
      </c>
      <c r="B51" s="39">
        <f>SUM(B49:B49)</f>
        <v>0</v>
      </c>
      <c r="C51" s="161"/>
      <c r="D51" s="23">
        <f>D50+D49</f>
        <v>24.3</v>
      </c>
      <c r="E51" s="82"/>
      <c r="F51" s="50"/>
      <c r="G51" s="41"/>
      <c r="H51" s="33">
        <f>SUM(H49:H50)</f>
        <v>0</v>
      </c>
      <c r="I51" s="33"/>
      <c r="J51" s="43"/>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row>
    <row r="52" spans="1:114" s="46" customFormat="1" ht="153" customHeight="1">
      <c r="A52" s="254" t="s">
        <v>8</v>
      </c>
      <c r="B52" s="278">
        <f>20400+19370</f>
        <v>39770</v>
      </c>
      <c r="C52" s="162" t="s">
        <v>114</v>
      </c>
      <c r="D52" s="60"/>
      <c r="E52" s="59"/>
      <c r="F52" s="50"/>
      <c r="G52" s="41"/>
      <c r="H52" s="33"/>
      <c r="I52" s="33"/>
      <c r="J52" s="43"/>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row>
    <row r="53" spans="1:114" s="46" customFormat="1" ht="79.5" customHeight="1">
      <c r="A53" s="260"/>
      <c r="B53" s="279"/>
      <c r="C53" s="173" t="s">
        <v>204</v>
      </c>
      <c r="D53" s="59">
        <v>75682.87</v>
      </c>
      <c r="E53" s="105" t="s">
        <v>87</v>
      </c>
      <c r="F53" s="50"/>
      <c r="G53" s="41"/>
      <c r="H53" s="33"/>
      <c r="I53" s="33"/>
      <c r="J53" s="43"/>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row>
    <row r="54" spans="1:114" s="46" customFormat="1" ht="27" customHeight="1">
      <c r="A54" s="260"/>
      <c r="B54" s="279"/>
      <c r="C54" s="159" t="s">
        <v>208</v>
      </c>
      <c r="D54" s="60">
        <v>18</v>
      </c>
      <c r="E54" s="105" t="s">
        <v>87</v>
      </c>
      <c r="F54" s="50"/>
      <c r="G54" s="41"/>
      <c r="H54" s="33"/>
      <c r="I54" s="33"/>
      <c r="J54" s="43"/>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row>
    <row r="55" spans="1:10" ht="36.75" customHeight="1">
      <c r="A55" s="255"/>
      <c r="B55" s="280"/>
      <c r="C55" s="149" t="s">
        <v>176</v>
      </c>
      <c r="D55" s="60">
        <f>1825+4080+384</f>
        <v>6289</v>
      </c>
      <c r="E55" s="105" t="s">
        <v>175</v>
      </c>
      <c r="F55" s="5"/>
      <c r="G55" s="32"/>
      <c r="H55" s="14"/>
      <c r="I55" s="14"/>
      <c r="J55" s="36"/>
    </row>
    <row r="56" spans="1:114" s="46" customFormat="1" ht="31.5" customHeight="1">
      <c r="A56" s="153" t="s">
        <v>15</v>
      </c>
      <c r="B56" s="39">
        <f>SUM(B52)</f>
        <v>39770</v>
      </c>
      <c r="C56" s="152"/>
      <c r="D56" s="22">
        <f>SUM(D52:D55)</f>
        <v>81989.87</v>
      </c>
      <c r="E56" s="82"/>
      <c r="F56" s="50"/>
      <c r="G56" s="41"/>
      <c r="H56" s="33">
        <f>SUM(H53:H55)</f>
        <v>0</v>
      </c>
      <c r="I56" s="33"/>
      <c r="J56" s="43"/>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row>
    <row r="57" spans="1:114" s="46" customFormat="1" ht="31.5" customHeight="1">
      <c r="A57" s="254" t="s">
        <v>9</v>
      </c>
      <c r="B57" s="278">
        <v>8000</v>
      </c>
      <c r="C57" s="154" t="s">
        <v>115</v>
      </c>
      <c r="D57" s="59"/>
      <c r="E57" s="74"/>
      <c r="F57" s="50"/>
      <c r="G57" s="41"/>
      <c r="H57" s="33"/>
      <c r="I57" s="33"/>
      <c r="J57" s="43"/>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row>
    <row r="58" spans="1:10" ht="32.25" customHeight="1">
      <c r="A58" s="255"/>
      <c r="B58" s="280"/>
      <c r="C58" s="152" t="s">
        <v>205</v>
      </c>
      <c r="D58" s="60">
        <v>9468.3</v>
      </c>
      <c r="E58" s="105" t="s">
        <v>87</v>
      </c>
      <c r="F58" s="5"/>
      <c r="G58" s="32"/>
      <c r="H58" s="12"/>
      <c r="I58" s="14"/>
      <c r="J58" s="36"/>
    </row>
    <row r="59" spans="1:114" s="46" customFormat="1" ht="19.5" customHeight="1">
      <c r="A59" s="153" t="s">
        <v>15</v>
      </c>
      <c r="B59" s="39">
        <f>B57</f>
        <v>8000</v>
      </c>
      <c r="C59" s="159"/>
      <c r="D59" s="22">
        <f>D58+D57</f>
        <v>9468.3</v>
      </c>
      <c r="E59" s="82"/>
      <c r="F59" s="50">
        <f>F58</f>
        <v>0</v>
      </c>
      <c r="G59" s="41"/>
      <c r="H59" s="33">
        <f>SUM(H57:H58)</f>
        <v>0</v>
      </c>
      <c r="I59" s="33"/>
      <c r="J59" s="43"/>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row>
    <row r="60" spans="1:114" s="46" customFormat="1" ht="32.25" customHeight="1">
      <c r="A60" s="254" t="s">
        <v>10</v>
      </c>
      <c r="B60" s="278"/>
      <c r="C60" s="152" t="s">
        <v>205</v>
      </c>
      <c r="D60" s="60">
        <v>4746.3</v>
      </c>
      <c r="E60" s="105" t="s">
        <v>87</v>
      </c>
      <c r="F60" s="50"/>
      <c r="G60" s="41"/>
      <c r="H60" s="33"/>
      <c r="I60" s="33"/>
      <c r="J60" s="43"/>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row>
    <row r="61" spans="1:10" ht="23.25" customHeight="1">
      <c r="A61" s="255"/>
      <c r="B61" s="280"/>
      <c r="C61" s="116"/>
      <c r="D61" s="16"/>
      <c r="E61" s="59"/>
      <c r="F61" s="5"/>
      <c r="G61" s="32"/>
      <c r="H61" s="14"/>
      <c r="I61" s="14"/>
      <c r="J61" s="36"/>
    </row>
    <row r="62" spans="1:114" s="46" customFormat="1" ht="21.75" customHeight="1">
      <c r="A62" s="153" t="s">
        <v>15</v>
      </c>
      <c r="B62" s="39">
        <f>SUM(B60:B60)</f>
        <v>0</v>
      </c>
      <c r="C62" s="152"/>
      <c r="D62" s="22">
        <f>D61+D60</f>
        <v>4746.3</v>
      </c>
      <c r="E62" s="60"/>
      <c r="F62" s="50"/>
      <c r="G62" s="41"/>
      <c r="H62" s="33">
        <f>SUM(H60:H61)</f>
        <v>0</v>
      </c>
      <c r="I62" s="33"/>
      <c r="J62" s="43"/>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row>
    <row r="63" spans="1:114" s="46" customFormat="1" ht="24" customHeight="1">
      <c r="A63" s="254" t="s">
        <v>11</v>
      </c>
      <c r="B63" s="278"/>
      <c r="C63" s="152" t="s">
        <v>211</v>
      </c>
      <c r="D63" s="60">
        <v>24.3</v>
      </c>
      <c r="E63" s="105" t="s">
        <v>87</v>
      </c>
      <c r="F63" s="5"/>
      <c r="G63" s="32"/>
      <c r="H63" s="14"/>
      <c r="I63" s="14"/>
      <c r="J63" s="43"/>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row>
    <row r="64" spans="1:10" ht="23.25" customHeight="1">
      <c r="A64" s="255"/>
      <c r="B64" s="280"/>
      <c r="C64" s="116"/>
      <c r="D64" s="16"/>
      <c r="E64" s="59"/>
      <c r="F64" s="5"/>
      <c r="G64" s="32"/>
      <c r="H64" s="14"/>
      <c r="I64" s="14"/>
      <c r="J64" s="36"/>
    </row>
    <row r="65" spans="1:114" s="46" customFormat="1" ht="23.25" customHeight="1">
      <c r="A65" s="153" t="s">
        <v>15</v>
      </c>
      <c r="B65" s="52">
        <f>SUM(B63:B63)</f>
        <v>0</v>
      </c>
      <c r="C65" s="116"/>
      <c r="D65" s="22">
        <f>D64+D63</f>
        <v>24.3</v>
      </c>
      <c r="E65" s="60"/>
      <c r="F65" s="50">
        <f>F64+F63</f>
        <v>0</v>
      </c>
      <c r="G65" s="41"/>
      <c r="H65" s="33">
        <f>SUM(H63:H64)</f>
        <v>0</v>
      </c>
      <c r="I65" s="33"/>
      <c r="J65" s="43"/>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row>
    <row r="66" spans="1:114" s="46" customFormat="1" ht="28.5" customHeight="1">
      <c r="A66" s="254" t="s">
        <v>12</v>
      </c>
      <c r="B66" s="278"/>
      <c r="C66" s="152" t="s">
        <v>211</v>
      </c>
      <c r="D66" s="60">
        <v>24.3</v>
      </c>
      <c r="E66" s="105" t="s">
        <v>87</v>
      </c>
      <c r="F66" s="50"/>
      <c r="G66" s="41"/>
      <c r="H66" s="33"/>
      <c r="I66" s="33"/>
      <c r="J66" s="43"/>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row>
    <row r="67" spans="1:10" ht="18" customHeight="1">
      <c r="A67" s="255"/>
      <c r="B67" s="280"/>
      <c r="C67" s="152"/>
      <c r="D67" s="60"/>
      <c r="E67" s="105"/>
      <c r="F67" s="5"/>
      <c r="G67" s="32"/>
      <c r="H67" s="14"/>
      <c r="I67" s="14"/>
      <c r="J67" s="36"/>
    </row>
    <row r="68" spans="1:114" s="46" customFormat="1" ht="24.75" customHeight="1">
      <c r="A68" s="153" t="s">
        <v>15</v>
      </c>
      <c r="B68" s="39">
        <f>SUM(B66:B66)</f>
        <v>0</v>
      </c>
      <c r="C68" s="116"/>
      <c r="D68" s="22">
        <f>D67+D66</f>
        <v>24.3</v>
      </c>
      <c r="E68" s="82"/>
      <c r="F68" s="50"/>
      <c r="G68" s="41"/>
      <c r="H68" s="33">
        <f>SUM(H66:H67)</f>
        <v>0</v>
      </c>
      <c r="I68" s="33"/>
      <c r="J68" s="43"/>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row>
    <row r="69" spans="1:114" s="46" customFormat="1" ht="83.25" customHeight="1">
      <c r="A69" s="254" t="s">
        <v>13</v>
      </c>
      <c r="B69" s="278"/>
      <c r="C69" s="152" t="s">
        <v>201</v>
      </c>
      <c r="D69" s="59">
        <v>65980.76</v>
      </c>
      <c r="E69" s="105" t="s">
        <v>87</v>
      </c>
      <c r="F69" s="50"/>
      <c r="G69" s="41"/>
      <c r="H69" s="14"/>
      <c r="I69" s="14"/>
      <c r="J69" s="43"/>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row>
    <row r="70" spans="1:114" s="46" customFormat="1" ht="33.75" customHeight="1">
      <c r="A70" s="260"/>
      <c r="B70" s="279"/>
      <c r="C70" s="116" t="s">
        <v>203</v>
      </c>
      <c r="D70" s="59">
        <v>18</v>
      </c>
      <c r="E70" s="105" t="s">
        <v>202</v>
      </c>
      <c r="F70" s="50"/>
      <c r="G70" s="41"/>
      <c r="H70" s="14"/>
      <c r="I70" s="14"/>
      <c r="J70" s="43"/>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row>
    <row r="71" spans="1:10" ht="37.5" customHeight="1">
      <c r="A71" s="255"/>
      <c r="B71" s="280"/>
      <c r="C71" s="149" t="s">
        <v>176</v>
      </c>
      <c r="D71" s="60">
        <f>1733.75+4080+432</f>
        <v>6245.75</v>
      </c>
      <c r="E71" s="105" t="s">
        <v>175</v>
      </c>
      <c r="F71" s="5"/>
      <c r="G71" s="32"/>
      <c r="H71" s="14"/>
      <c r="I71" s="14"/>
      <c r="J71" s="36"/>
    </row>
    <row r="72" spans="1:10" ht="21.75" customHeight="1">
      <c r="A72" s="153" t="s">
        <v>15</v>
      </c>
      <c r="B72" s="39">
        <f>SUM(B69:B69)</f>
        <v>0</v>
      </c>
      <c r="C72" s="116"/>
      <c r="D72" s="22">
        <f>SUM(D69:D71)</f>
        <v>72244.51</v>
      </c>
      <c r="E72" s="82"/>
      <c r="F72" s="50">
        <f>F71</f>
        <v>0</v>
      </c>
      <c r="G72" s="32"/>
      <c r="H72" s="33">
        <f>SUM(H69:H71)</f>
        <v>0</v>
      </c>
      <c r="I72" s="14"/>
      <c r="J72" s="36"/>
    </row>
    <row r="73" spans="1:10" s="56" customFormat="1" ht="27" customHeight="1">
      <c r="A73" s="258" t="s">
        <v>83</v>
      </c>
      <c r="B73" s="278"/>
      <c r="C73" s="116" t="s">
        <v>203</v>
      </c>
      <c r="D73" s="59">
        <v>18</v>
      </c>
      <c r="E73" s="105" t="s">
        <v>202</v>
      </c>
      <c r="F73" s="54"/>
      <c r="G73" s="4"/>
      <c r="H73" s="10"/>
      <c r="I73" s="11"/>
      <c r="J73" s="55"/>
    </row>
    <row r="74" spans="1:10" ht="24.75" customHeight="1">
      <c r="A74" s="259"/>
      <c r="B74" s="280"/>
      <c r="C74" s="152" t="s">
        <v>205</v>
      </c>
      <c r="D74" s="60">
        <v>4746.3</v>
      </c>
      <c r="E74" s="105" t="s">
        <v>87</v>
      </c>
      <c r="F74" s="5"/>
      <c r="G74" s="32"/>
      <c r="H74" s="14"/>
      <c r="I74" s="14"/>
      <c r="J74" s="43"/>
    </row>
    <row r="75" spans="1:114" s="46" customFormat="1" ht="18" customHeight="1">
      <c r="A75" s="153" t="s">
        <v>15</v>
      </c>
      <c r="B75" s="39">
        <f>SUM(B73:B73)</f>
        <v>0</v>
      </c>
      <c r="C75" s="116"/>
      <c r="D75" s="22">
        <f>SUM(D73:D74)</f>
        <v>4764.3</v>
      </c>
      <c r="E75" s="23"/>
      <c r="F75" s="50">
        <f>F74</f>
        <v>0</v>
      </c>
      <c r="G75" s="41"/>
      <c r="H75" s="9">
        <f>SUM(H73:H74)</f>
        <v>0</v>
      </c>
      <c r="I75" s="33"/>
      <c r="J75" s="43"/>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row>
    <row r="76" spans="1:114" s="46" customFormat="1" ht="29.25" customHeight="1">
      <c r="A76" s="258" t="s">
        <v>82</v>
      </c>
      <c r="B76" s="278"/>
      <c r="C76" s="152" t="s">
        <v>205</v>
      </c>
      <c r="D76" s="60">
        <v>4746.3</v>
      </c>
      <c r="E76" s="105" t="s">
        <v>87</v>
      </c>
      <c r="F76" s="50"/>
      <c r="G76" s="41"/>
      <c r="H76" s="14"/>
      <c r="I76" s="14"/>
      <c r="J76" s="43"/>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row>
    <row r="77" spans="1:10" ht="19.5" customHeight="1">
      <c r="A77" s="259"/>
      <c r="B77" s="280"/>
      <c r="C77" s="116"/>
      <c r="D77" s="59"/>
      <c r="E77" s="59"/>
      <c r="F77" s="5"/>
      <c r="G77" s="32"/>
      <c r="H77" s="33"/>
      <c r="I77" s="33"/>
      <c r="J77" s="43"/>
    </row>
    <row r="78" spans="1:114" s="46" customFormat="1" ht="30.75" customHeight="1">
      <c r="A78" s="153" t="s">
        <v>15</v>
      </c>
      <c r="B78" s="39">
        <f>SUM(B76:B76)</f>
        <v>0</v>
      </c>
      <c r="C78" s="116"/>
      <c r="D78" s="22">
        <f>SUM(D76:D77)</f>
        <v>4746.3</v>
      </c>
      <c r="E78" s="23"/>
      <c r="F78" s="50">
        <f>F77</f>
        <v>0</v>
      </c>
      <c r="G78" s="41"/>
      <c r="H78" s="33">
        <f>SUM(H76:H77)</f>
        <v>0</v>
      </c>
      <c r="I78" s="33"/>
      <c r="J78" s="43"/>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row>
    <row r="79" spans="1:114" s="46" customFormat="1" ht="30.75" customHeight="1">
      <c r="A79" s="163" t="s">
        <v>44</v>
      </c>
      <c r="B79" s="22">
        <f>B78+B75+B72+B68+B65+B62+B59+B56+B51+B48+B45+B41+B38+B35+B31+B27+B24+B20+B15</f>
        <v>60094</v>
      </c>
      <c r="C79" s="3"/>
      <c r="D79" s="22">
        <f>D78+D75+D72+D68+D65+D62+D59+D56+D51+D48+D45+D41+D38+D35+D31+D27+D24+D20+D15</f>
        <v>677332.79</v>
      </c>
      <c r="E79" s="23"/>
      <c r="F79" s="22">
        <f>F78+F75+F72+F68+F65+F62+F59+F56+F51+F48+F45+F41+F38+F35+F31+F27+F24+F20+F15</f>
        <v>0</v>
      </c>
      <c r="G79" s="4"/>
      <c r="H79" s="22">
        <f>H78+H75+H72+H68+H65+H62+H59+H56+H51+H48+H45+H41+H38+H35+H31+H27+H24+H20+H15</f>
        <v>0</v>
      </c>
      <c r="I79" s="120"/>
      <c r="J79" s="43"/>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row>
    <row r="80" spans="1:114" s="46" customFormat="1" ht="184.5" customHeight="1">
      <c r="A80" s="254" t="s">
        <v>72</v>
      </c>
      <c r="B80" s="278"/>
      <c r="C80" s="156" t="s">
        <v>212</v>
      </c>
      <c r="D80" s="122">
        <v>448611.18</v>
      </c>
      <c r="E80" s="105" t="s">
        <v>87</v>
      </c>
      <c r="F80" s="118"/>
      <c r="G80" s="119"/>
      <c r="H80" s="33"/>
      <c r="I80" s="120"/>
      <c r="J80" s="43"/>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row>
    <row r="81" spans="1:114" s="46" customFormat="1" ht="124.5" customHeight="1">
      <c r="A81" s="260"/>
      <c r="B81" s="279"/>
      <c r="C81" s="156" t="s">
        <v>90</v>
      </c>
      <c r="D81" s="122">
        <v>151722</v>
      </c>
      <c r="E81" s="105" t="s">
        <v>80</v>
      </c>
      <c r="F81" s="118"/>
      <c r="G81" s="119"/>
      <c r="H81" s="33"/>
      <c r="I81" s="120"/>
      <c r="J81" s="43"/>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row>
    <row r="82" spans="1:114" s="46" customFormat="1" ht="28.5" customHeight="1">
      <c r="A82" s="260"/>
      <c r="B82" s="279"/>
      <c r="C82" s="162" t="s">
        <v>81</v>
      </c>
      <c r="D82" s="144">
        <f>673.92</f>
        <v>673.92</v>
      </c>
      <c r="E82" s="105" t="s">
        <v>91</v>
      </c>
      <c r="F82" s="118"/>
      <c r="G82" s="119"/>
      <c r="H82" s="33"/>
      <c r="I82" s="120"/>
      <c r="J82" s="43"/>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row>
    <row r="83" spans="1:114" s="46" customFormat="1" ht="36.75" customHeight="1">
      <c r="A83" s="260"/>
      <c r="B83" s="279"/>
      <c r="C83" s="128" t="s">
        <v>81</v>
      </c>
      <c r="D83" s="109">
        <v>1280.45</v>
      </c>
      <c r="E83" s="59" t="s">
        <v>92</v>
      </c>
      <c r="F83" s="118"/>
      <c r="G83" s="119"/>
      <c r="H83" s="33"/>
      <c r="I83" s="120"/>
      <c r="J83" s="43"/>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row>
    <row r="84" spans="1:114" s="46" customFormat="1" ht="45.75" customHeight="1">
      <c r="A84" s="260"/>
      <c r="B84" s="279"/>
      <c r="C84" s="146" t="s">
        <v>150</v>
      </c>
      <c r="D84" s="109">
        <f>240+10525+10943</f>
        <v>21708</v>
      </c>
      <c r="E84" s="106" t="s">
        <v>131</v>
      </c>
      <c r="F84" s="5"/>
      <c r="G84" s="14"/>
      <c r="H84" s="12"/>
      <c r="I84" s="15"/>
      <c r="J84" s="43"/>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row>
    <row r="85" spans="1:114" s="46" customFormat="1" ht="173.25" customHeight="1">
      <c r="A85" s="260"/>
      <c r="B85" s="279"/>
      <c r="C85" s="146" t="s">
        <v>133</v>
      </c>
      <c r="D85" s="109">
        <f>57558.22+112102.29+36683.7</f>
        <v>206344.21000000002</v>
      </c>
      <c r="E85" s="106" t="s">
        <v>132</v>
      </c>
      <c r="F85" s="5"/>
      <c r="G85" s="14"/>
      <c r="H85" s="12"/>
      <c r="I85" s="15"/>
      <c r="J85" s="43"/>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row>
    <row r="86" spans="1:114" s="46" customFormat="1" ht="17.25" customHeight="1">
      <c r="A86" s="260"/>
      <c r="B86" s="279"/>
      <c r="C86" s="146" t="s">
        <v>26</v>
      </c>
      <c r="D86" s="109">
        <v>4880</v>
      </c>
      <c r="E86" s="106" t="s">
        <v>198</v>
      </c>
      <c r="F86" s="5"/>
      <c r="G86" s="14"/>
      <c r="H86" s="12"/>
      <c r="I86" s="15"/>
      <c r="J86" s="43"/>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row>
    <row r="87" spans="1:114" s="46" customFormat="1" ht="38.25" customHeight="1">
      <c r="A87" s="255"/>
      <c r="B87" s="280"/>
      <c r="C87" s="146" t="s">
        <v>149</v>
      </c>
      <c r="D87" s="122">
        <f>234344+134230.34</f>
        <v>368574.33999999997</v>
      </c>
      <c r="E87" s="106" t="s">
        <v>148</v>
      </c>
      <c r="F87" s="5"/>
      <c r="G87" s="14"/>
      <c r="H87" s="12"/>
      <c r="I87" s="15"/>
      <c r="J87" s="43"/>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row>
    <row r="88" spans="1:114" s="46" customFormat="1" ht="27.75" customHeight="1">
      <c r="A88" s="153" t="s">
        <v>15</v>
      </c>
      <c r="B88" s="39">
        <f>B80</f>
        <v>0</v>
      </c>
      <c r="C88" s="2"/>
      <c r="D88" s="22">
        <f>SUM(D80:D87)</f>
        <v>1203794.1</v>
      </c>
      <c r="E88" s="23"/>
      <c r="F88" s="50">
        <f>F87</f>
        <v>0</v>
      </c>
      <c r="G88" s="41"/>
      <c r="H88" s="9">
        <f>SUM(H84:H87)</f>
        <v>0</v>
      </c>
      <c r="I88" s="33"/>
      <c r="J88" s="43"/>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row>
    <row r="89" spans="1:114" s="46" customFormat="1" ht="48.75" customHeight="1">
      <c r="A89" s="254" t="s">
        <v>28</v>
      </c>
      <c r="B89" s="278"/>
      <c r="C89" s="21" t="s">
        <v>152</v>
      </c>
      <c r="D89" s="16">
        <v>450053.76</v>
      </c>
      <c r="E89" s="16" t="s">
        <v>151</v>
      </c>
      <c r="F89" s="288"/>
      <c r="G89" s="268"/>
      <c r="H89" s="9"/>
      <c r="I89" s="33"/>
      <c r="J89" s="43"/>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row>
    <row r="90" spans="1:114" s="46" customFormat="1" ht="22.5" customHeight="1">
      <c r="A90" s="260"/>
      <c r="B90" s="279"/>
      <c r="C90" s="21" t="s">
        <v>26</v>
      </c>
      <c r="D90" s="60">
        <v>6100</v>
      </c>
      <c r="E90" s="102" t="s">
        <v>198</v>
      </c>
      <c r="F90" s="289"/>
      <c r="G90" s="271"/>
      <c r="H90" s="9"/>
      <c r="I90" s="33"/>
      <c r="J90" s="43"/>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row>
    <row r="91" spans="1:114" s="46" customFormat="1" ht="45.75" customHeight="1">
      <c r="A91" s="260"/>
      <c r="B91" s="279"/>
      <c r="C91" s="150" t="s">
        <v>213</v>
      </c>
      <c r="D91" s="59">
        <v>223908.3</v>
      </c>
      <c r="E91" s="105" t="s">
        <v>87</v>
      </c>
      <c r="F91" s="289"/>
      <c r="G91" s="271"/>
      <c r="H91" s="14"/>
      <c r="I91" s="14"/>
      <c r="J91" s="43"/>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row>
    <row r="92" spans="1:9" ht="2.25" customHeight="1" hidden="1">
      <c r="A92" s="255"/>
      <c r="B92" s="280"/>
      <c r="C92" s="114"/>
      <c r="D92" s="59"/>
      <c r="E92" s="83"/>
      <c r="F92" s="290"/>
      <c r="G92" s="269"/>
      <c r="H92" s="57"/>
      <c r="I92" s="14"/>
    </row>
    <row r="93" spans="1:114" s="46" customFormat="1" ht="19.5" customHeight="1">
      <c r="A93" s="153" t="s">
        <v>15</v>
      </c>
      <c r="B93" s="39">
        <f>SUM(B89:B89)</f>
        <v>0</v>
      </c>
      <c r="C93" s="2"/>
      <c r="D93" s="101">
        <f>SUM(D89:D92)</f>
        <v>680062.06</v>
      </c>
      <c r="E93" s="84"/>
      <c r="F93" s="50">
        <f>F89</f>
        <v>0</v>
      </c>
      <c r="G93" s="41"/>
      <c r="H93" s="8">
        <f>SUM(H91:H92)</f>
        <v>0</v>
      </c>
      <c r="I93" s="33"/>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row>
    <row r="94" spans="1:114" s="46" customFormat="1" ht="100.5" customHeight="1">
      <c r="A94" s="254" t="s">
        <v>55</v>
      </c>
      <c r="B94" s="278"/>
      <c r="C94" s="152" t="s">
        <v>214</v>
      </c>
      <c r="D94" s="59">
        <v>277643.43</v>
      </c>
      <c r="E94" s="105" t="s">
        <v>87</v>
      </c>
      <c r="F94" s="288"/>
      <c r="G94" s="268"/>
      <c r="H94" s="8"/>
      <c r="I94" s="33"/>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row>
    <row r="95" spans="1:114" s="46" customFormat="1" ht="21.75" customHeight="1">
      <c r="A95" s="255"/>
      <c r="B95" s="280"/>
      <c r="C95" s="114" t="s">
        <v>199</v>
      </c>
      <c r="D95" s="59">
        <v>2440</v>
      </c>
      <c r="E95" s="102" t="s">
        <v>198</v>
      </c>
      <c r="F95" s="290"/>
      <c r="G95" s="269"/>
      <c r="H95" s="58"/>
      <c r="I95" s="58"/>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row>
    <row r="96" spans="1:114" s="46" customFormat="1" ht="26.25" customHeight="1">
      <c r="A96" s="153" t="s">
        <v>15</v>
      </c>
      <c r="B96" s="39">
        <f>SUM(B94:B95)</f>
        <v>0</v>
      </c>
      <c r="C96" s="3"/>
      <c r="D96" s="23">
        <f>SUM(D94:D95)</f>
        <v>280083.43</v>
      </c>
      <c r="E96" s="23"/>
      <c r="F96" s="10">
        <f>F94</f>
        <v>0</v>
      </c>
      <c r="G96" s="41"/>
      <c r="H96" s="8">
        <f>SUM(H94:H95)</f>
        <v>0</v>
      </c>
      <c r="I96" s="33"/>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row>
    <row r="97" spans="1:114" s="46" customFormat="1" ht="112.5" customHeight="1">
      <c r="A97" s="254" t="s">
        <v>54</v>
      </c>
      <c r="B97" s="284"/>
      <c r="C97" s="128" t="s">
        <v>215</v>
      </c>
      <c r="D97" s="60">
        <v>235420.3</v>
      </c>
      <c r="E97" s="105" t="s">
        <v>87</v>
      </c>
      <c r="F97" s="266"/>
      <c r="G97" s="268"/>
      <c r="H97" s="57"/>
      <c r="I97" s="14"/>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row>
    <row r="98" spans="1:114" s="46" customFormat="1" ht="23.25" customHeight="1">
      <c r="A98" s="260"/>
      <c r="B98" s="285"/>
      <c r="C98" s="136" t="s">
        <v>134</v>
      </c>
      <c r="D98" s="109">
        <v>4320</v>
      </c>
      <c r="E98" s="117" t="s">
        <v>136</v>
      </c>
      <c r="F98" s="270"/>
      <c r="G98" s="271"/>
      <c r="H98" s="57"/>
      <c r="I98" s="14"/>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row>
    <row r="99" spans="1:114" s="46" customFormat="1" ht="21.75" customHeight="1">
      <c r="A99" s="260"/>
      <c r="B99" s="285"/>
      <c r="C99" s="136" t="s">
        <v>26</v>
      </c>
      <c r="D99" s="109">
        <v>4270</v>
      </c>
      <c r="E99" s="102" t="s">
        <v>198</v>
      </c>
      <c r="F99" s="270"/>
      <c r="G99" s="271"/>
      <c r="H99" s="57"/>
      <c r="I99" s="14"/>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row>
    <row r="100" spans="1:114" s="46" customFormat="1" ht="42" customHeight="1">
      <c r="A100" s="255"/>
      <c r="B100" s="286"/>
      <c r="C100" s="128" t="s">
        <v>121</v>
      </c>
      <c r="D100" s="109">
        <f>6770+5607</f>
        <v>12377</v>
      </c>
      <c r="E100" s="59" t="s">
        <v>108</v>
      </c>
      <c r="F100" s="267"/>
      <c r="G100" s="269"/>
      <c r="H100" s="8"/>
      <c r="I100" s="33"/>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row>
    <row r="101" spans="1:114" s="46" customFormat="1" ht="24" customHeight="1">
      <c r="A101" s="153" t="s">
        <v>15</v>
      </c>
      <c r="B101" s="39">
        <f>SUM(B97:B100)</f>
        <v>0</v>
      </c>
      <c r="C101" s="3"/>
      <c r="D101" s="22">
        <f>SUM(D97:D100)</f>
        <v>256387.3</v>
      </c>
      <c r="E101" s="23"/>
      <c r="F101" s="10">
        <f>F97</f>
        <v>0</v>
      </c>
      <c r="G101" s="41"/>
      <c r="H101" s="8">
        <f>SUM(H97:H100)</f>
        <v>0</v>
      </c>
      <c r="I101" s="33"/>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row>
    <row r="102" spans="1:114" s="46" customFormat="1" ht="28.5" customHeight="1">
      <c r="A102" s="254" t="s">
        <v>73</v>
      </c>
      <c r="B102" s="278"/>
      <c r="C102" s="162" t="s">
        <v>81</v>
      </c>
      <c r="D102" s="144">
        <v>1979.64</v>
      </c>
      <c r="E102" s="105" t="s">
        <v>91</v>
      </c>
      <c r="F102" s="123"/>
      <c r="G102" s="119"/>
      <c r="H102" s="8"/>
      <c r="I102" s="33"/>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row>
    <row r="103" spans="1:114" s="46" customFormat="1" ht="26.25" customHeight="1">
      <c r="A103" s="260"/>
      <c r="B103" s="279"/>
      <c r="C103" s="128" t="s">
        <v>81</v>
      </c>
      <c r="D103" s="109">
        <v>1280.45</v>
      </c>
      <c r="E103" s="59" t="s">
        <v>92</v>
      </c>
      <c r="F103" s="123"/>
      <c r="G103" s="119"/>
      <c r="H103" s="8"/>
      <c r="I103" s="33"/>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row>
    <row r="104" spans="1:114" s="46" customFormat="1" ht="120" customHeight="1">
      <c r="A104" s="260"/>
      <c r="B104" s="279"/>
      <c r="C104" s="128" t="s">
        <v>219</v>
      </c>
      <c r="D104" s="109">
        <v>384775.88</v>
      </c>
      <c r="E104" s="105" t="s">
        <v>87</v>
      </c>
      <c r="F104" s="123"/>
      <c r="G104" s="119"/>
      <c r="H104" s="8"/>
      <c r="I104" s="33"/>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row>
    <row r="105" spans="1:114" s="46" customFormat="1" ht="39.75" customHeight="1">
      <c r="A105" s="260"/>
      <c r="B105" s="279"/>
      <c r="C105" s="128" t="s">
        <v>235</v>
      </c>
      <c r="D105" s="109">
        <v>51857.53</v>
      </c>
      <c r="E105" s="105" t="s">
        <v>236</v>
      </c>
      <c r="F105" s="123"/>
      <c r="G105" s="119"/>
      <c r="H105" s="8"/>
      <c r="I105" s="33"/>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row>
    <row r="106" spans="1:114" s="46" customFormat="1" ht="39" customHeight="1">
      <c r="A106" s="260"/>
      <c r="B106" s="279"/>
      <c r="C106" s="128" t="s">
        <v>237</v>
      </c>
      <c r="D106" s="109">
        <v>3688</v>
      </c>
      <c r="E106" s="105" t="s">
        <v>238</v>
      </c>
      <c r="F106" s="123"/>
      <c r="G106" s="119"/>
      <c r="H106" s="8"/>
      <c r="I106" s="33"/>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row>
    <row r="107" spans="1:9" ht="23.25" customHeight="1">
      <c r="A107" s="260"/>
      <c r="B107" s="279"/>
      <c r="C107" s="152" t="s">
        <v>29</v>
      </c>
      <c r="D107" s="109">
        <v>64487.68</v>
      </c>
      <c r="E107" s="109" t="s">
        <v>142</v>
      </c>
      <c r="F107" s="281"/>
      <c r="G107" s="268"/>
      <c r="H107" s="5"/>
      <c r="I107" s="14"/>
    </row>
    <row r="108" spans="1:9" ht="81.75" customHeight="1">
      <c r="A108" s="260"/>
      <c r="B108" s="279"/>
      <c r="C108" s="171" t="s">
        <v>154</v>
      </c>
      <c r="D108" s="82">
        <f>93980+22196.34+89605.8</f>
        <v>205782.14</v>
      </c>
      <c r="E108" s="171" t="s">
        <v>153</v>
      </c>
      <c r="F108" s="282"/>
      <c r="G108" s="271"/>
      <c r="H108" s="5"/>
      <c r="I108" s="14"/>
    </row>
    <row r="109" spans="1:9" ht="180" customHeight="1">
      <c r="A109" s="260"/>
      <c r="B109" s="279"/>
      <c r="C109" s="174" t="s">
        <v>242</v>
      </c>
      <c r="D109" s="82">
        <f>60510.42+51960</f>
        <v>112470.42</v>
      </c>
      <c r="E109" s="16" t="s">
        <v>241</v>
      </c>
      <c r="F109" s="282"/>
      <c r="G109" s="271"/>
      <c r="H109" s="5"/>
      <c r="I109" s="14"/>
    </row>
    <row r="110" spans="1:9" ht="21.75" customHeight="1">
      <c r="A110" s="260"/>
      <c r="B110" s="279"/>
      <c r="C110" s="116" t="s">
        <v>155</v>
      </c>
      <c r="D110" s="82">
        <v>60</v>
      </c>
      <c r="E110" s="59" t="s">
        <v>108</v>
      </c>
      <c r="F110" s="282"/>
      <c r="G110" s="271"/>
      <c r="H110" s="5"/>
      <c r="I110" s="14"/>
    </row>
    <row r="111" spans="1:9" ht="15.75" customHeight="1">
      <c r="A111" s="260"/>
      <c r="B111" s="279"/>
      <c r="C111" s="152" t="s">
        <v>26</v>
      </c>
      <c r="D111" s="109">
        <v>4880</v>
      </c>
      <c r="E111" s="102" t="s">
        <v>198</v>
      </c>
      <c r="F111" s="282"/>
      <c r="G111" s="271"/>
      <c r="H111" s="5"/>
      <c r="I111" s="14"/>
    </row>
    <row r="112" spans="1:9" ht="15" customHeight="1">
      <c r="A112" s="255"/>
      <c r="B112" s="280"/>
      <c r="C112" s="152"/>
      <c r="D112" s="109"/>
      <c r="E112" s="100"/>
      <c r="F112" s="283"/>
      <c r="G112" s="269"/>
      <c r="H112" s="5"/>
      <c r="I112" s="14"/>
    </row>
    <row r="113" spans="1:114" s="46" customFormat="1" ht="22.5" customHeight="1">
      <c r="A113" s="153" t="s">
        <v>15</v>
      </c>
      <c r="B113" s="52">
        <f>SUM(B102:B102)</f>
        <v>0</v>
      </c>
      <c r="C113" s="152"/>
      <c r="D113" s="22">
        <f>SUM(D102:D112)</f>
        <v>831261.7400000001</v>
      </c>
      <c r="E113" s="23"/>
      <c r="F113" s="10">
        <f>F107</f>
        <v>0</v>
      </c>
      <c r="G113" s="41"/>
      <c r="H113" s="50">
        <f>H107</f>
        <v>0</v>
      </c>
      <c r="I113" s="33"/>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row>
    <row r="114" spans="1:114" s="46" customFormat="1" ht="174.75" customHeight="1" hidden="1">
      <c r="A114" s="153" t="s">
        <v>15</v>
      </c>
      <c r="B114" s="39">
        <f>SUM(B102:B113)</f>
        <v>0</v>
      </c>
      <c r="C114" s="2"/>
      <c r="D114" s="23"/>
      <c r="E114" s="22"/>
      <c r="F114" s="9"/>
      <c r="G114" s="41"/>
      <c r="H114" s="8"/>
      <c r="I114" s="8"/>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row>
    <row r="115" spans="1:114" s="46" customFormat="1" ht="16.5" customHeight="1" hidden="1">
      <c r="A115" s="164" t="s">
        <v>27</v>
      </c>
      <c r="B115" s="62">
        <v>10999</v>
      </c>
      <c r="C115" s="152" t="s">
        <v>35</v>
      </c>
      <c r="D115" s="23"/>
      <c r="E115" s="22"/>
      <c r="F115" s="9"/>
      <c r="G115" s="41"/>
      <c r="H115" s="8"/>
      <c r="I115" s="8"/>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row>
    <row r="116" spans="1:9" ht="17.25" customHeight="1" hidden="1">
      <c r="A116" s="164" t="s">
        <v>27</v>
      </c>
      <c r="B116" s="62">
        <v>1219</v>
      </c>
      <c r="C116" s="152" t="s">
        <v>29</v>
      </c>
      <c r="D116" s="60"/>
      <c r="E116" s="22"/>
      <c r="F116" s="12"/>
      <c r="G116" s="32"/>
      <c r="H116" s="57"/>
      <c r="I116" s="14"/>
    </row>
    <row r="117" spans="1:114" s="46" customFormat="1" ht="16.5" customHeight="1" hidden="1">
      <c r="A117" s="153" t="s">
        <v>15</v>
      </c>
      <c r="B117" s="39">
        <f>SUM(B115:B116)</f>
        <v>12218</v>
      </c>
      <c r="C117" s="2"/>
      <c r="D117" s="23"/>
      <c r="E117" s="22"/>
      <c r="F117" s="9"/>
      <c r="G117" s="41"/>
      <c r="H117" s="8"/>
      <c r="I117" s="8"/>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row>
    <row r="118" spans="1:114" s="46" customFormat="1" ht="16.5" customHeight="1" hidden="1">
      <c r="A118" s="164" t="s">
        <v>22</v>
      </c>
      <c r="B118" s="59">
        <v>3133</v>
      </c>
      <c r="C118" s="152" t="s">
        <v>30</v>
      </c>
      <c r="D118" s="60"/>
      <c r="E118" s="22"/>
      <c r="F118" s="9"/>
      <c r="G118" s="41"/>
      <c r="H118" s="8"/>
      <c r="I118" s="8"/>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row>
    <row r="119" spans="1:114" s="46" customFormat="1" ht="18.75" customHeight="1" hidden="1">
      <c r="A119" s="164" t="s">
        <v>22</v>
      </c>
      <c r="B119" s="59">
        <v>120</v>
      </c>
      <c r="C119" s="152" t="s">
        <v>26</v>
      </c>
      <c r="D119" s="60"/>
      <c r="E119" s="22"/>
      <c r="F119" s="9"/>
      <c r="G119" s="41"/>
      <c r="H119" s="8"/>
      <c r="I119" s="8"/>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row>
    <row r="120" spans="1:114" s="46" customFormat="1" ht="18.75" customHeight="1" hidden="1">
      <c r="A120" s="164" t="s">
        <v>22</v>
      </c>
      <c r="B120" s="59">
        <v>210</v>
      </c>
      <c r="C120" s="152" t="s">
        <v>26</v>
      </c>
      <c r="D120" s="60"/>
      <c r="E120" s="22"/>
      <c r="F120" s="9"/>
      <c r="G120" s="41"/>
      <c r="H120" s="8"/>
      <c r="I120" s="8"/>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row>
    <row r="121" spans="1:114" s="46" customFormat="1" ht="16.5" customHeight="1" hidden="1">
      <c r="A121" s="153" t="s">
        <v>15</v>
      </c>
      <c r="B121" s="22">
        <f>SUM(B118:B120)</f>
        <v>3463</v>
      </c>
      <c r="C121" s="2"/>
      <c r="D121" s="23"/>
      <c r="E121" s="22"/>
      <c r="F121" s="9"/>
      <c r="G121" s="41"/>
      <c r="H121" s="8"/>
      <c r="I121" s="8"/>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row>
    <row r="122" spans="1:114" s="46" customFormat="1" ht="17.25" customHeight="1" hidden="1">
      <c r="A122" s="164" t="s">
        <v>23</v>
      </c>
      <c r="B122" s="63">
        <v>60</v>
      </c>
      <c r="C122" s="152" t="s">
        <v>33</v>
      </c>
      <c r="D122" s="63">
        <v>149639.87</v>
      </c>
      <c r="E122" s="85" t="s">
        <v>32</v>
      </c>
      <c r="F122" s="6"/>
      <c r="G122" s="41"/>
      <c r="H122" s="61"/>
      <c r="I122" s="8"/>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row>
    <row r="123" spans="1:114" s="46" customFormat="1" ht="17.25" customHeight="1" hidden="1">
      <c r="A123" s="164" t="s">
        <v>23</v>
      </c>
      <c r="B123" s="63">
        <v>3951.33</v>
      </c>
      <c r="C123" s="152" t="s">
        <v>34</v>
      </c>
      <c r="D123" s="63"/>
      <c r="E123" s="85"/>
      <c r="F123" s="6"/>
      <c r="G123" s="41"/>
      <c r="H123" s="61"/>
      <c r="I123" s="8"/>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row>
    <row r="124" spans="1:114" s="46" customFormat="1" ht="24" customHeight="1">
      <c r="A124" s="254" t="s">
        <v>27</v>
      </c>
      <c r="B124" s="278">
        <f>360+324</f>
        <v>684</v>
      </c>
      <c r="C124" s="156" t="s">
        <v>81</v>
      </c>
      <c r="D124" s="144">
        <v>673.92</v>
      </c>
      <c r="E124" s="105" t="s">
        <v>91</v>
      </c>
      <c r="F124" s="115"/>
      <c r="G124" s="119"/>
      <c r="H124" s="61"/>
      <c r="I124" s="8"/>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row>
    <row r="125" spans="1:114" s="46" customFormat="1" ht="20.25" customHeight="1">
      <c r="A125" s="260"/>
      <c r="B125" s="279"/>
      <c r="C125" s="128" t="s">
        <v>81</v>
      </c>
      <c r="D125" s="109">
        <v>1280.45</v>
      </c>
      <c r="E125" s="59" t="s">
        <v>92</v>
      </c>
      <c r="F125" s="115"/>
      <c r="G125" s="119"/>
      <c r="H125" s="61"/>
      <c r="I125" s="8"/>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row>
    <row r="126" spans="1:114" s="46" customFormat="1" ht="123.75" customHeight="1">
      <c r="A126" s="260"/>
      <c r="B126" s="279"/>
      <c r="C126" s="128" t="s">
        <v>216</v>
      </c>
      <c r="D126" s="109">
        <v>489343.04</v>
      </c>
      <c r="E126" s="105" t="s">
        <v>87</v>
      </c>
      <c r="F126" s="115"/>
      <c r="G126" s="119"/>
      <c r="H126" s="61"/>
      <c r="I126" s="8"/>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row>
    <row r="127" spans="1:9" ht="29.25" customHeight="1">
      <c r="A127" s="260"/>
      <c r="B127" s="279"/>
      <c r="C127" s="156" t="s">
        <v>138</v>
      </c>
      <c r="D127" s="109">
        <f>1898+160+60</f>
        <v>2118</v>
      </c>
      <c r="E127" s="122" t="s">
        <v>108</v>
      </c>
      <c r="F127" s="281"/>
      <c r="G127" s="268"/>
      <c r="H127" s="57"/>
      <c r="I127" s="14"/>
    </row>
    <row r="128" spans="1:9" ht="20.25" customHeight="1">
      <c r="A128" s="260"/>
      <c r="B128" s="279"/>
      <c r="C128" s="156" t="s">
        <v>26</v>
      </c>
      <c r="D128" s="109">
        <v>5490</v>
      </c>
      <c r="E128" s="122" t="s">
        <v>198</v>
      </c>
      <c r="F128" s="282"/>
      <c r="G128" s="271"/>
      <c r="H128" s="57"/>
      <c r="I128" s="104"/>
    </row>
    <row r="129" spans="1:9" ht="20.25" customHeight="1">
      <c r="A129" s="260"/>
      <c r="B129" s="279"/>
      <c r="C129" s="156" t="s">
        <v>192</v>
      </c>
      <c r="D129" s="109"/>
      <c r="E129" s="109"/>
      <c r="F129" s="283"/>
      <c r="G129" s="269"/>
      <c r="H129" s="57"/>
      <c r="I129" s="104"/>
    </row>
    <row r="130" spans="1:114" s="46" customFormat="1" ht="19.5" customHeight="1">
      <c r="A130" s="153" t="s">
        <v>15</v>
      </c>
      <c r="B130" s="52">
        <f>SUM(B124:B124)</f>
        <v>684</v>
      </c>
      <c r="C130" s="158"/>
      <c r="D130" s="22">
        <f>SUM(D124:D129)</f>
        <v>498905.41</v>
      </c>
      <c r="E130" s="23"/>
      <c r="F130" s="10">
        <f>F127</f>
        <v>0</v>
      </c>
      <c r="G130" s="41"/>
      <c r="H130" s="8">
        <f>SUM(H127:H129)</f>
        <v>0</v>
      </c>
      <c r="I130" s="33"/>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row>
    <row r="131" spans="1:114" s="46" customFormat="1" ht="102" customHeight="1">
      <c r="A131" s="254" t="s">
        <v>74</v>
      </c>
      <c r="B131" s="278"/>
      <c r="C131" s="152" t="s">
        <v>217</v>
      </c>
      <c r="D131" s="60">
        <v>76877.13</v>
      </c>
      <c r="E131" s="105" t="s">
        <v>87</v>
      </c>
      <c r="F131" s="281"/>
      <c r="G131" s="268"/>
      <c r="H131" s="57"/>
      <c r="I131" s="14"/>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row>
    <row r="132" spans="1:9" ht="16.5" customHeight="1">
      <c r="A132" s="255"/>
      <c r="B132" s="280"/>
      <c r="C132" s="152" t="s">
        <v>26</v>
      </c>
      <c r="D132" s="60">
        <v>3416</v>
      </c>
      <c r="E132" s="122" t="s">
        <v>198</v>
      </c>
      <c r="F132" s="283"/>
      <c r="G132" s="269"/>
      <c r="H132" s="60"/>
      <c r="I132" s="94"/>
    </row>
    <row r="133" spans="1:114" s="46" customFormat="1" ht="25.5" customHeight="1">
      <c r="A133" s="153" t="s">
        <v>15</v>
      </c>
      <c r="B133" s="39">
        <f>SUM(B131:B131)</f>
        <v>0</v>
      </c>
      <c r="C133" s="3"/>
      <c r="D133" s="22">
        <f>SUM(D131:D132)</f>
        <v>80293.13</v>
      </c>
      <c r="E133" s="23"/>
      <c r="F133" s="10">
        <f>F131</f>
        <v>0</v>
      </c>
      <c r="G133" s="41"/>
      <c r="H133" s="8">
        <f>SUM(H131:H132)</f>
        <v>0</v>
      </c>
      <c r="I133" s="33"/>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row>
    <row r="134" spans="1:114" s="46" customFormat="1" ht="18.75" customHeight="1">
      <c r="A134" s="254" t="s">
        <v>75</v>
      </c>
      <c r="B134" s="278">
        <v>120</v>
      </c>
      <c r="C134" s="156" t="s">
        <v>81</v>
      </c>
      <c r="D134" s="144">
        <v>1305.72</v>
      </c>
      <c r="E134" s="105" t="s">
        <v>91</v>
      </c>
      <c r="F134" s="281"/>
      <c r="G134" s="268"/>
      <c r="H134" s="57"/>
      <c r="I134" s="14"/>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row>
    <row r="135" spans="1:114" s="46" customFormat="1" ht="18.75" customHeight="1">
      <c r="A135" s="260"/>
      <c r="B135" s="279"/>
      <c r="C135" s="128" t="s">
        <v>81</v>
      </c>
      <c r="D135" s="109">
        <v>1280.45</v>
      </c>
      <c r="E135" s="59" t="s">
        <v>92</v>
      </c>
      <c r="F135" s="282"/>
      <c r="G135" s="271"/>
      <c r="H135" s="57"/>
      <c r="I135" s="14"/>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row>
    <row r="136" spans="1:114" s="46" customFormat="1" ht="150" customHeight="1">
      <c r="A136" s="260"/>
      <c r="B136" s="279"/>
      <c r="C136" s="137" t="s">
        <v>218</v>
      </c>
      <c r="D136" s="109">
        <v>546886.52</v>
      </c>
      <c r="E136" s="105" t="s">
        <v>87</v>
      </c>
      <c r="F136" s="282"/>
      <c r="G136" s="271"/>
      <c r="H136" s="57"/>
      <c r="I136" s="14"/>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row>
    <row r="137" spans="1:114" s="46" customFormat="1" ht="39.75" customHeight="1">
      <c r="A137" s="260"/>
      <c r="B137" s="279"/>
      <c r="C137" s="137" t="s">
        <v>239</v>
      </c>
      <c r="D137" s="109">
        <v>1952390.8</v>
      </c>
      <c r="E137" s="105" t="s">
        <v>240</v>
      </c>
      <c r="F137" s="282"/>
      <c r="G137" s="271"/>
      <c r="H137" s="57"/>
      <c r="I137" s="14"/>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row>
    <row r="138" spans="1:114" s="46" customFormat="1" ht="33.75" customHeight="1">
      <c r="A138" s="260"/>
      <c r="B138" s="279"/>
      <c r="C138" s="137" t="s">
        <v>156</v>
      </c>
      <c r="D138" s="109">
        <f>480+100</f>
        <v>580</v>
      </c>
      <c r="E138" s="138" t="s">
        <v>108</v>
      </c>
      <c r="F138" s="282"/>
      <c r="G138" s="271"/>
      <c r="H138" s="57"/>
      <c r="I138" s="14"/>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row>
    <row r="139" spans="1:114" s="46" customFormat="1" ht="19.5" customHeight="1">
      <c r="A139" s="260"/>
      <c r="B139" s="279"/>
      <c r="C139" s="156" t="s">
        <v>193</v>
      </c>
      <c r="D139" s="122"/>
      <c r="E139" s="105"/>
      <c r="F139" s="282"/>
      <c r="G139" s="271"/>
      <c r="H139" s="57"/>
      <c r="I139" s="14"/>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row>
    <row r="140" spans="1:9" ht="20.25" customHeight="1">
      <c r="A140" s="255"/>
      <c r="B140" s="280"/>
      <c r="C140" s="116" t="s">
        <v>26</v>
      </c>
      <c r="D140" s="122">
        <v>7930</v>
      </c>
      <c r="E140" s="105" t="s">
        <v>198</v>
      </c>
      <c r="F140" s="283"/>
      <c r="G140" s="269"/>
      <c r="H140" s="57"/>
      <c r="I140" s="14"/>
    </row>
    <row r="141" spans="1:114" s="46" customFormat="1" ht="20.25" customHeight="1">
      <c r="A141" s="153" t="s">
        <v>15</v>
      </c>
      <c r="B141" s="39">
        <f>SUM(B134:B140)</f>
        <v>120</v>
      </c>
      <c r="C141" s="3"/>
      <c r="D141" s="22">
        <f>SUM(D134:D140)</f>
        <v>2510373.49</v>
      </c>
      <c r="E141" s="23"/>
      <c r="F141" s="10">
        <f>F134</f>
        <v>0</v>
      </c>
      <c r="G141" s="41"/>
      <c r="H141" s="8">
        <f>SUM(H134:H140)</f>
        <v>0</v>
      </c>
      <c r="I141" s="33"/>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row>
    <row r="142" spans="1:114" s="46" customFormat="1" ht="23.25" customHeight="1" hidden="1">
      <c r="A142" s="254" t="s">
        <v>76</v>
      </c>
      <c r="B142" s="278">
        <f>791.2+2245.96+562+806+2178.6+1530</f>
        <v>8113.76</v>
      </c>
      <c r="C142" s="152"/>
      <c r="D142" s="59"/>
      <c r="E142" s="86"/>
      <c r="F142" s="281"/>
      <c r="G142" s="268"/>
      <c r="H142" s="8"/>
      <c r="I142" s="33"/>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row>
    <row r="143" spans="1:114" s="46" customFormat="1" ht="218.25" customHeight="1">
      <c r="A143" s="260"/>
      <c r="B143" s="279"/>
      <c r="C143" s="162" t="s">
        <v>220</v>
      </c>
      <c r="D143" s="122">
        <v>522405.61</v>
      </c>
      <c r="E143" s="105" t="s">
        <v>87</v>
      </c>
      <c r="F143" s="282"/>
      <c r="G143" s="271"/>
      <c r="H143" s="8"/>
      <c r="I143" s="120"/>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row>
    <row r="144" spans="1:114" s="46" customFormat="1" ht="19.5" customHeight="1">
      <c r="A144" s="260"/>
      <c r="B144" s="279"/>
      <c r="C144" s="128" t="s">
        <v>29</v>
      </c>
      <c r="D144" s="109"/>
      <c r="E144" s="122"/>
      <c r="F144" s="282"/>
      <c r="G144" s="271"/>
      <c r="H144" s="8"/>
      <c r="I144" s="120"/>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row>
    <row r="145" spans="1:114" s="46" customFormat="1" ht="141.75" customHeight="1">
      <c r="A145" s="260"/>
      <c r="B145" s="279"/>
      <c r="C145" s="156" t="s">
        <v>106</v>
      </c>
      <c r="D145" s="122">
        <v>142506</v>
      </c>
      <c r="E145" s="105" t="s">
        <v>80</v>
      </c>
      <c r="F145" s="282"/>
      <c r="G145" s="271"/>
      <c r="H145" s="8"/>
      <c r="I145" s="120"/>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row>
    <row r="146" spans="1:114" s="46" customFormat="1" ht="218.25" customHeight="1">
      <c r="A146" s="260"/>
      <c r="B146" s="279"/>
      <c r="C146" s="146" t="s">
        <v>158</v>
      </c>
      <c r="D146" s="109">
        <v>402168.72</v>
      </c>
      <c r="E146" s="106" t="s">
        <v>132</v>
      </c>
      <c r="F146" s="282"/>
      <c r="G146" s="271"/>
      <c r="H146" s="8"/>
      <c r="I146" s="120"/>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row>
    <row r="147" spans="1:114" s="46" customFormat="1" ht="41.25" customHeight="1">
      <c r="A147" s="260"/>
      <c r="B147" s="279"/>
      <c r="C147" s="156" t="s">
        <v>157</v>
      </c>
      <c r="D147" s="122">
        <f>750+240+6175</f>
        <v>7165</v>
      </c>
      <c r="E147" s="105" t="s">
        <v>108</v>
      </c>
      <c r="F147" s="282"/>
      <c r="G147" s="271"/>
      <c r="H147" s="8"/>
      <c r="I147" s="120"/>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row>
    <row r="148" spans="1:114" s="46" customFormat="1" ht="47.25" customHeight="1">
      <c r="A148" s="260"/>
      <c r="B148" s="279"/>
      <c r="C148" s="165" t="s">
        <v>160</v>
      </c>
      <c r="D148" s="122">
        <v>245480.54</v>
      </c>
      <c r="E148" s="172" t="s">
        <v>159</v>
      </c>
      <c r="F148" s="282"/>
      <c r="G148" s="271"/>
      <c r="H148" s="8"/>
      <c r="I148" s="120"/>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row>
    <row r="149" spans="1:114" s="46" customFormat="1" ht="24.75" customHeight="1">
      <c r="A149" s="260"/>
      <c r="B149" s="279"/>
      <c r="C149" s="165" t="s">
        <v>113</v>
      </c>
      <c r="D149" s="109">
        <f>1082.18</f>
        <v>1082.18</v>
      </c>
      <c r="E149" s="122" t="s">
        <v>112</v>
      </c>
      <c r="F149" s="282"/>
      <c r="G149" s="271"/>
      <c r="H149" s="8"/>
      <c r="I149" s="120"/>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row>
    <row r="150" spans="1:114" s="46" customFormat="1" ht="24.75" customHeight="1">
      <c r="A150" s="260"/>
      <c r="B150" s="279"/>
      <c r="C150" s="165" t="s">
        <v>26</v>
      </c>
      <c r="D150" s="109">
        <v>6710</v>
      </c>
      <c r="E150" s="122" t="s">
        <v>198</v>
      </c>
      <c r="F150" s="282"/>
      <c r="G150" s="271"/>
      <c r="H150" s="8"/>
      <c r="I150" s="120"/>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row>
    <row r="151" spans="1:114" s="46" customFormat="1" ht="122.25" customHeight="1">
      <c r="A151" s="260"/>
      <c r="B151" s="279"/>
      <c r="C151" s="165" t="s">
        <v>173</v>
      </c>
      <c r="D151" s="109">
        <f>87150+800+75472.25+29277.9+96513.89+106300</f>
        <v>395514.04</v>
      </c>
      <c r="E151" s="122" t="s">
        <v>110</v>
      </c>
      <c r="F151" s="282"/>
      <c r="G151" s="271"/>
      <c r="H151" s="8"/>
      <c r="I151" s="120"/>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row>
    <row r="152" spans="1:114" s="46" customFormat="1" ht="24" customHeight="1">
      <c r="A152" s="153" t="s">
        <v>15</v>
      </c>
      <c r="B152" s="52">
        <f>SUM(B142:B142)</f>
        <v>8113.76</v>
      </c>
      <c r="C152" s="152"/>
      <c r="D152" s="22">
        <f>SUM(D143:D151)</f>
        <v>1723032.09</v>
      </c>
      <c r="E152" s="60"/>
      <c r="F152" s="10">
        <f>F142</f>
        <v>0</v>
      </c>
      <c r="G152" s="41"/>
      <c r="H152" s="50">
        <f>SUM(H142:H151)</f>
        <v>0</v>
      </c>
      <c r="I152" s="33"/>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row>
    <row r="153" spans="1:114" s="46" customFormat="1" ht="29.25" customHeight="1">
      <c r="A153" s="277" t="s">
        <v>37</v>
      </c>
      <c r="B153" s="278"/>
      <c r="C153" s="156" t="s">
        <v>81</v>
      </c>
      <c r="D153" s="144">
        <v>1305.72</v>
      </c>
      <c r="E153" s="105" t="s">
        <v>91</v>
      </c>
      <c r="F153" s="266"/>
      <c r="G153" s="268"/>
      <c r="H153" s="57"/>
      <c r="I153" s="14"/>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row>
    <row r="154" spans="1:114" s="46" customFormat="1" ht="20.25" customHeight="1">
      <c r="A154" s="277"/>
      <c r="B154" s="279"/>
      <c r="C154" s="128" t="s">
        <v>81</v>
      </c>
      <c r="D154" s="109">
        <v>1280.45</v>
      </c>
      <c r="E154" s="59" t="s">
        <v>92</v>
      </c>
      <c r="F154" s="270"/>
      <c r="G154" s="271"/>
      <c r="H154" s="57"/>
      <c r="I154" s="14"/>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row>
    <row r="155" spans="1:114" s="46" customFormat="1" ht="121.5" customHeight="1">
      <c r="A155" s="277"/>
      <c r="B155" s="279"/>
      <c r="C155" s="165" t="s">
        <v>221</v>
      </c>
      <c r="D155" s="122">
        <v>270761.54</v>
      </c>
      <c r="E155" s="105" t="s">
        <v>87</v>
      </c>
      <c r="F155" s="270"/>
      <c r="G155" s="271"/>
      <c r="H155" s="57"/>
      <c r="I155" s="14"/>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row>
    <row r="156" spans="1:114" s="46" customFormat="1" ht="27" customHeight="1">
      <c r="A156" s="277"/>
      <c r="B156" s="279"/>
      <c r="C156" s="156" t="s">
        <v>120</v>
      </c>
      <c r="D156" s="122">
        <v>240</v>
      </c>
      <c r="E156" s="105" t="s">
        <v>108</v>
      </c>
      <c r="F156" s="270"/>
      <c r="G156" s="271"/>
      <c r="H156" s="57"/>
      <c r="I156" s="14"/>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row>
    <row r="157" spans="1:114" s="46" customFormat="1" ht="16.5" customHeight="1">
      <c r="A157" s="277"/>
      <c r="B157" s="280"/>
      <c r="C157" s="128" t="s">
        <v>26</v>
      </c>
      <c r="D157" s="109">
        <v>6710</v>
      </c>
      <c r="E157" s="122" t="s">
        <v>198</v>
      </c>
      <c r="F157" s="267"/>
      <c r="G157" s="269"/>
      <c r="H157" s="61"/>
      <c r="I157" s="8"/>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row>
    <row r="158" spans="1:114" s="46" customFormat="1" ht="19.5" customHeight="1">
      <c r="A158" s="153" t="s">
        <v>15</v>
      </c>
      <c r="B158" s="64">
        <f>B153</f>
        <v>0</v>
      </c>
      <c r="C158" s="2"/>
      <c r="D158" s="64">
        <f>SUM(D153:D157)</f>
        <v>280297.70999999996</v>
      </c>
      <c r="E158" s="22"/>
      <c r="F158" s="9">
        <f>F153</f>
        <v>0</v>
      </c>
      <c r="G158" s="41"/>
      <c r="H158" s="8">
        <f>SUM(H153:H157)</f>
        <v>0</v>
      </c>
      <c r="I158" s="8"/>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row>
    <row r="159" spans="1:114" s="46" customFormat="1" ht="142.5" customHeight="1">
      <c r="A159" s="254" t="s">
        <v>53</v>
      </c>
      <c r="B159" s="261">
        <v>138</v>
      </c>
      <c r="C159" s="156" t="s">
        <v>222</v>
      </c>
      <c r="D159" s="122">
        <v>319625.29</v>
      </c>
      <c r="E159" s="105" t="s">
        <v>87</v>
      </c>
      <c r="F159" s="266"/>
      <c r="G159" s="268"/>
      <c r="H159" s="8"/>
      <c r="I159" s="8"/>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row>
    <row r="160" spans="1:114" s="46" customFormat="1" ht="58.5" customHeight="1">
      <c r="A160" s="260"/>
      <c r="B160" s="262"/>
      <c r="C160" s="158" t="s">
        <v>161</v>
      </c>
      <c r="D160" s="122">
        <f>7740+6552+420</f>
        <v>14712</v>
      </c>
      <c r="E160" s="122" t="s">
        <v>108</v>
      </c>
      <c r="F160" s="270"/>
      <c r="G160" s="271"/>
      <c r="H160" s="8"/>
      <c r="I160" s="8"/>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row>
    <row r="161" spans="1:114" s="46" customFormat="1" ht="19.5" customHeight="1">
      <c r="A161" s="260"/>
      <c r="B161" s="262"/>
      <c r="C161" s="158" t="s">
        <v>194</v>
      </c>
      <c r="D161" s="122"/>
      <c r="E161" s="138"/>
      <c r="F161" s="270"/>
      <c r="G161" s="271"/>
      <c r="H161" s="8"/>
      <c r="I161" s="8"/>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row>
    <row r="162" spans="1:114" s="46" customFormat="1" ht="19.5" customHeight="1">
      <c r="A162" s="260"/>
      <c r="B162" s="262"/>
      <c r="C162" s="158" t="s">
        <v>26</v>
      </c>
      <c r="D162" s="122">
        <v>2440</v>
      </c>
      <c r="E162" s="138" t="s">
        <v>198</v>
      </c>
      <c r="F162" s="270"/>
      <c r="G162" s="271"/>
      <c r="H162" s="8"/>
      <c r="I162" s="8"/>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row>
    <row r="163" spans="1:114" s="46" customFormat="1" ht="19.5" customHeight="1">
      <c r="A163" s="260"/>
      <c r="B163" s="262"/>
      <c r="C163" s="158" t="s">
        <v>134</v>
      </c>
      <c r="D163" s="122">
        <v>4320</v>
      </c>
      <c r="E163" s="106" t="s">
        <v>141</v>
      </c>
      <c r="F163" s="267"/>
      <c r="G163" s="269"/>
      <c r="H163" s="61"/>
      <c r="I163" s="8"/>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row>
    <row r="164" spans="1:114" s="46" customFormat="1" ht="21" customHeight="1">
      <c r="A164" s="153" t="s">
        <v>15</v>
      </c>
      <c r="B164" s="64">
        <f>SUM(B159)</f>
        <v>138</v>
      </c>
      <c r="C164" s="2"/>
      <c r="D164" s="64">
        <f>SUM(D159:D163)</f>
        <v>341097.29</v>
      </c>
      <c r="E164" s="22"/>
      <c r="F164" s="9">
        <f>F159</f>
        <v>0</v>
      </c>
      <c r="G164" s="41"/>
      <c r="H164" s="8">
        <f>SUM(H159:H163)</f>
        <v>0</v>
      </c>
      <c r="I164" s="8"/>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row>
    <row r="165" spans="1:114" s="46" customFormat="1" ht="33.75" customHeight="1">
      <c r="A165" s="254" t="s">
        <v>77</v>
      </c>
      <c r="B165" s="261"/>
      <c r="C165" s="152" t="s">
        <v>223</v>
      </c>
      <c r="D165" s="59">
        <v>643552.58</v>
      </c>
      <c r="E165" s="105" t="s">
        <v>87</v>
      </c>
      <c r="F165" s="9"/>
      <c r="G165" s="41"/>
      <c r="H165" s="8"/>
      <c r="I165" s="8"/>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row>
    <row r="166" spans="1:114" s="46" customFormat="1" ht="20.25" customHeight="1">
      <c r="A166" s="255"/>
      <c r="B166" s="265"/>
      <c r="C166" s="166" t="s">
        <v>26</v>
      </c>
      <c r="D166" s="148">
        <v>5490</v>
      </c>
      <c r="E166" s="109" t="s">
        <v>198</v>
      </c>
      <c r="F166" s="170"/>
      <c r="G166" s="110"/>
      <c r="H166" s="8"/>
      <c r="I166" s="8"/>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row>
    <row r="167" spans="1:114" s="46" customFormat="1" ht="19.5" customHeight="1">
      <c r="A167" s="153" t="s">
        <v>15</v>
      </c>
      <c r="B167" s="22">
        <f>SUM(B165)</f>
        <v>0</v>
      </c>
      <c r="C167" s="2"/>
      <c r="D167" s="23">
        <f>SUM(D165:D166)</f>
        <v>649042.58</v>
      </c>
      <c r="E167" s="103"/>
      <c r="F167" s="9"/>
      <c r="G167" s="41"/>
      <c r="H167" s="8">
        <f>SUM(H166:H166)</f>
        <v>0</v>
      </c>
      <c r="I167" s="8"/>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row>
    <row r="168" spans="1:114" s="46" customFormat="1" ht="54" customHeight="1">
      <c r="A168" s="254" t="s">
        <v>38</v>
      </c>
      <c r="B168" s="261"/>
      <c r="C168" s="152" t="s">
        <v>224</v>
      </c>
      <c r="D168" s="59">
        <v>251683.58</v>
      </c>
      <c r="E168" s="105" t="s">
        <v>87</v>
      </c>
      <c r="F168" s="266"/>
      <c r="G168" s="268"/>
      <c r="H168" s="57"/>
      <c r="I168" s="14"/>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row>
    <row r="169" spans="1:114" s="46" customFormat="1" ht="15.75" customHeight="1">
      <c r="A169" s="255"/>
      <c r="B169" s="265"/>
      <c r="C169" s="152" t="s">
        <v>26</v>
      </c>
      <c r="D169" s="82">
        <v>6710</v>
      </c>
      <c r="E169" s="122" t="s">
        <v>198</v>
      </c>
      <c r="F169" s="267"/>
      <c r="G169" s="269"/>
      <c r="H169" s="8"/>
      <c r="I169" s="8"/>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row>
    <row r="170" spans="1:114" s="46" customFormat="1" ht="19.5" customHeight="1">
      <c r="A170" s="153" t="s">
        <v>15</v>
      </c>
      <c r="B170" s="22">
        <f>B168</f>
        <v>0</v>
      </c>
      <c r="C170" s="2"/>
      <c r="D170" s="23">
        <f>D168+D169</f>
        <v>258393.58</v>
      </c>
      <c r="E170" s="59"/>
      <c r="F170" s="9">
        <f>F168</f>
        <v>0</v>
      </c>
      <c r="G170" s="41"/>
      <c r="H170" s="8">
        <f>SUM(H168:H169)</f>
        <v>0</v>
      </c>
      <c r="I170" s="8"/>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row>
    <row r="171" spans="1:114" s="46" customFormat="1" ht="105" customHeight="1">
      <c r="A171" s="254" t="s">
        <v>56</v>
      </c>
      <c r="B171" s="261">
        <f>150+63.25</f>
        <v>213.25</v>
      </c>
      <c r="C171" s="128" t="s">
        <v>225</v>
      </c>
      <c r="D171" s="60">
        <v>236102.05</v>
      </c>
      <c r="E171" s="105" t="s">
        <v>87</v>
      </c>
      <c r="F171" s="266"/>
      <c r="G171" s="274"/>
      <c r="H171" s="57"/>
      <c r="I171" s="14"/>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row>
    <row r="172" spans="1:114" s="46" customFormat="1" ht="19.5" customHeight="1">
      <c r="A172" s="260"/>
      <c r="B172" s="262"/>
      <c r="C172" s="149" t="s">
        <v>118</v>
      </c>
      <c r="D172" s="60"/>
      <c r="E172" s="105"/>
      <c r="F172" s="270"/>
      <c r="G172" s="275"/>
      <c r="H172" s="57"/>
      <c r="I172" s="14"/>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row>
    <row r="173" spans="1:114" s="46" customFormat="1" ht="19.5" customHeight="1">
      <c r="A173" s="260"/>
      <c r="B173" s="262"/>
      <c r="C173" s="149" t="s">
        <v>26</v>
      </c>
      <c r="D173" s="60">
        <v>1220</v>
      </c>
      <c r="E173" s="105" t="s">
        <v>198</v>
      </c>
      <c r="F173" s="270"/>
      <c r="G173" s="275"/>
      <c r="H173" s="57"/>
      <c r="I173" s="14"/>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row>
    <row r="174" spans="1:114" s="46" customFormat="1" ht="39.75" customHeight="1">
      <c r="A174" s="260"/>
      <c r="B174" s="262"/>
      <c r="C174" s="149" t="s">
        <v>176</v>
      </c>
      <c r="D174" s="60">
        <f>1314+4080+432</f>
        <v>5826</v>
      </c>
      <c r="E174" s="105" t="s">
        <v>175</v>
      </c>
      <c r="F174" s="270"/>
      <c r="G174" s="275"/>
      <c r="H174" s="57"/>
      <c r="I174" s="14"/>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row>
    <row r="175" spans="1:114" s="46" customFormat="1" ht="53.25" customHeight="1">
      <c r="A175" s="255"/>
      <c r="B175" s="265"/>
      <c r="C175" s="114" t="s">
        <v>162</v>
      </c>
      <c r="D175" s="82">
        <f>7740+6242</f>
        <v>13982</v>
      </c>
      <c r="E175" s="59" t="s">
        <v>131</v>
      </c>
      <c r="F175" s="267"/>
      <c r="G175" s="276"/>
      <c r="H175" s="8"/>
      <c r="I175" s="8"/>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row>
    <row r="176" spans="1:114" s="46" customFormat="1" ht="21.75" customHeight="1">
      <c r="A176" s="153" t="s">
        <v>15</v>
      </c>
      <c r="B176" s="22">
        <f>B171</f>
        <v>213.25</v>
      </c>
      <c r="C176" s="2"/>
      <c r="D176" s="23">
        <f>SUM(D171:D175)</f>
        <v>257130.05</v>
      </c>
      <c r="E176" s="59"/>
      <c r="F176" s="9">
        <f>F171</f>
        <v>0</v>
      </c>
      <c r="G176" s="41"/>
      <c r="H176" s="8">
        <f>SUM(H171:H175)</f>
        <v>0</v>
      </c>
      <c r="I176" s="8"/>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row>
    <row r="177" spans="1:114" s="46" customFormat="1" ht="21" customHeight="1">
      <c r="A177" s="254" t="s">
        <v>78</v>
      </c>
      <c r="B177" s="261"/>
      <c r="C177" s="156" t="s">
        <v>81</v>
      </c>
      <c r="D177" s="144">
        <v>673.92</v>
      </c>
      <c r="E177" s="105" t="s">
        <v>91</v>
      </c>
      <c r="F177" s="126"/>
      <c r="G177" s="119"/>
      <c r="H177" s="8"/>
      <c r="I177" s="8"/>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row>
    <row r="178" spans="1:114" s="46" customFormat="1" ht="24.75" customHeight="1">
      <c r="A178" s="260"/>
      <c r="B178" s="262"/>
      <c r="C178" s="128" t="s">
        <v>81</v>
      </c>
      <c r="D178" s="109">
        <v>2560.9</v>
      </c>
      <c r="E178" s="59" t="s">
        <v>92</v>
      </c>
      <c r="F178" s="126"/>
      <c r="G178" s="119"/>
      <c r="H178" s="8"/>
      <c r="I178" s="8"/>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row>
    <row r="179" spans="1:114" s="46" customFormat="1" ht="54" customHeight="1">
      <c r="A179" s="260"/>
      <c r="B179" s="262"/>
      <c r="C179" s="136" t="s">
        <v>93</v>
      </c>
      <c r="D179" s="131">
        <v>165000</v>
      </c>
      <c r="E179" s="135" t="s">
        <v>97</v>
      </c>
      <c r="F179" s="126"/>
      <c r="G179" s="119"/>
      <c r="H179" s="8"/>
      <c r="I179" s="8"/>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row>
    <row r="180" spans="1:114" s="46" customFormat="1" ht="80.25" customHeight="1">
      <c r="A180" s="260"/>
      <c r="B180" s="262"/>
      <c r="C180" s="128" t="s">
        <v>226</v>
      </c>
      <c r="D180" s="148">
        <v>637855.98</v>
      </c>
      <c r="E180" s="105" t="s">
        <v>87</v>
      </c>
      <c r="F180" s="266"/>
      <c r="G180" s="268"/>
      <c r="H180" s="59"/>
      <c r="I180" s="94"/>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row>
    <row r="181" spans="1:114" s="46" customFormat="1" ht="22.5" customHeight="1">
      <c r="A181" s="260"/>
      <c r="B181" s="262"/>
      <c r="C181" s="156" t="s">
        <v>143</v>
      </c>
      <c r="D181" s="122">
        <f>75+544</f>
        <v>619</v>
      </c>
      <c r="E181" s="105" t="s">
        <v>108</v>
      </c>
      <c r="F181" s="270"/>
      <c r="G181" s="271"/>
      <c r="H181" s="59"/>
      <c r="I181" s="94"/>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row>
    <row r="182" spans="1:114" s="46" customFormat="1" ht="15.75">
      <c r="A182" s="255"/>
      <c r="B182" s="265"/>
      <c r="C182" s="162" t="s">
        <v>26</v>
      </c>
      <c r="D182" s="122">
        <v>3172</v>
      </c>
      <c r="E182" s="105" t="s">
        <v>198</v>
      </c>
      <c r="F182" s="267"/>
      <c r="G182" s="269"/>
      <c r="H182" s="8"/>
      <c r="I182" s="8"/>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row>
    <row r="183" spans="1:114" s="46" customFormat="1" ht="19.5" customHeight="1">
      <c r="A183" s="153" t="s">
        <v>15</v>
      </c>
      <c r="B183" s="22">
        <f>SUM(B177)</f>
        <v>0</v>
      </c>
      <c r="C183" s="2"/>
      <c r="D183" s="23">
        <f>SUM(D177:D182)</f>
        <v>809881.8</v>
      </c>
      <c r="E183" s="59"/>
      <c r="F183" s="9">
        <f>F180</f>
        <v>0</v>
      </c>
      <c r="G183" s="41"/>
      <c r="H183" s="8">
        <f>SUM(H180:H182)</f>
        <v>0</v>
      </c>
      <c r="I183" s="8"/>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row>
    <row r="184" spans="1:114" s="46" customFormat="1" ht="20.25" customHeight="1" hidden="1">
      <c r="A184" s="254" t="s">
        <v>39</v>
      </c>
      <c r="B184" s="261"/>
      <c r="C184" s="272"/>
      <c r="D184" s="83"/>
      <c r="E184" s="16"/>
      <c r="F184" s="266"/>
      <c r="G184" s="268"/>
      <c r="H184" s="57"/>
      <c r="I184" s="14"/>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row>
    <row r="185" spans="1:114" s="46" customFormat="1" ht="0.75" customHeight="1" hidden="1">
      <c r="A185" s="260"/>
      <c r="B185" s="262"/>
      <c r="C185" s="273"/>
      <c r="D185" s="88"/>
      <c r="E185" s="88"/>
      <c r="F185" s="270"/>
      <c r="G185" s="271"/>
      <c r="H185" s="8"/>
      <c r="I185" s="8"/>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row>
    <row r="186" spans="1:114" s="46" customFormat="1" ht="20.25" customHeight="1" hidden="1">
      <c r="A186" s="255"/>
      <c r="B186" s="265"/>
      <c r="C186" s="152"/>
      <c r="D186" s="59"/>
      <c r="E186" s="78"/>
      <c r="F186" s="267"/>
      <c r="G186" s="269"/>
      <c r="H186" s="8"/>
      <c r="I186" s="8"/>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row>
    <row r="187" spans="1:114" s="46" customFormat="1" ht="19.5" customHeight="1" hidden="1">
      <c r="A187" s="153" t="s">
        <v>15</v>
      </c>
      <c r="B187" s="22">
        <f>SUM(B184)</f>
        <v>0</v>
      </c>
      <c r="C187" s="2"/>
      <c r="D187" s="23">
        <f>SUM(D184:D186)</f>
        <v>0</v>
      </c>
      <c r="E187" s="59"/>
      <c r="F187" s="9">
        <f>F184</f>
        <v>0</v>
      </c>
      <c r="G187" s="41"/>
      <c r="H187" s="8">
        <f>SUM(H184:H186)</f>
        <v>0</v>
      </c>
      <c r="I187" s="8"/>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row>
    <row r="188" spans="1:114" s="46" customFormat="1" ht="27.75" customHeight="1">
      <c r="A188" s="254" t="s">
        <v>40</v>
      </c>
      <c r="B188" s="261">
        <v>120</v>
      </c>
      <c r="C188" s="156" t="s">
        <v>81</v>
      </c>
      <c r="D188" s="144">
        <v>673.92</v>
      </c>
      <c r="E188" s="105" t="s">
        <v>91</v>
      </c>
      <c r="F188" s="126"/>
      <c r="G188" s="119"/>
      <c r="H188" s="8"/>
      <c r="I188" s="8"/>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row>
    <row r="189" spans="1:114" s="46" customFormat="1" ht="24.75" customHeight="1">
      <c r="A189" s="260"/>
      <c r="B189" s="262"/>
      <c r="C189" s="128" t="s">
        <v>81</v>
      </c>
      <c r="D189" s="109">
        <v>1920.47</v>
      </c>
      <c r="E189" s="59" t="s">
        <v>92</v>
      </c>
      <c r="F189" s="126"/>
      <c r="G189" s="119"/>
      <c r="H189" s="8"/>
      <c r="I189" s="8"/>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row>
    <row r="190" spans="1:114" s="46" customFormat="1" ht="61.5" customHeight="1">
      <c r="A190" s="260"/>
      <c r="B190" s="262"/>
      <c r="C190" s="136" t="s">
        <v>93</v>
      </c>
      <c r="D190" s="131">
        <v>165000</v>
      </c>
      <c r="E190" s="135" t="s">
        <v>97</v>
      </c>
      <c r="F190" s="266"/>
      <c r="G190" s="268"/>
      <c r="H190" s="57"/>
      <c r="I190" s="14"/>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row>
    <row r="191" spans="1:114" s="46" customFormat="1" ht="76.5" customHeight="1">
      <c r="A191" s="260"/>
      <c r="B191" s="262"/>
      <c r="C191" s="128" t="s">
        <v>227</v>
      </c>
      <c r="D191" s="148">
        <v>461135.58</v>
      </c>
      <c r="E191" s="105" t="s">
        <v>87</v>
      </c>
      <c r="F191" s="270"/>
      <c r="G191" s="271"/>
      <c r="H191" s="57"/>
      <c r="I191" s="14"/>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row>
    <row r="192" spans="1:114" s="46" customFormat="1" ht="20.25" customHeight="1">
      <c r="A192" s="260"/>
      <c r="B192" s="262"/>
      <c r="C192" s="128" t="s">
        <v>26</v>
      </c>
      <c r="D192" s="148">
        <v>9760</v>
      </c>
      <c r="E192" s="105" t="s">
        <v>198</v>
      </c>
      <c r="F192" s="270"/>
      <c r="G192" s="271"/>
      <c r="H192" s="57"/>
      <c r="I192" s="14"/>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row>
    <row r="193" spans="1:114" s="46" customFormat="1" ht="22.5" customHeight="1">
      <c r="A193" s="260"/>
      <c r="B193" s="262"/>
      <c r="C193" s="156" t="s">
        <v>81</v>
      </c>
      <c r="D193" s="122">
        <v>960</v>
      </c>
      <c r="E193" s="105" t="s">
        <v>117</v>
      </c>
      <c r="F193" s="270"/>
      <c r="G193" s="271"/>
      <c r="H193" s="57"/>
      <c r="I193" s="14"/>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row>
    <row r="194" spans="1:114" s="46" customFormat="1" ht="27" customHeight="1">
      <c r="A194" s="260"/>
      <c r="B194" s="262"/>
      <c r="C194" s="156" t="s">
        <v>155</v>
      </c>
      <c r="D194" s="131">
        <v>40</v>
      </c>
      <c r="E194" s="105" t="s">
        <v>108</v>
      </c>
      <c r="F194" s="270"/>
      <c r="G194" s="271"/>
      <c r="H194" s="57"/>
      <c r="I194" s="14"/>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row>
    <row r="195" spans="1:114" s="46" customFormat="1" ht="20.25" customHeight="1">
      <c r="A195" s="255"/>
      <c r="B195" s="265"/>
      <c r="C195" s="158" t="s">
        <v>194</v>
      </c>
      <c r="D195" s="122"/>
      <c r="E195" s="109"/>
      <c r="F195" s="267"/>
      <c r="G195" s="269"/>
      <c r="H195" s="8"/>
      <c r="I195" s="8"/>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row>
    <row r="196" spans="1:114" s="46" customFormat="1" ht="21" customHeight="1">
      <c r="A196" s="153" t="s">
        <v>15</v>
      </c>
      <c r="B196" s="22">
        <f>SUM(B188)</f>
        <v>120</v>
      </c>
      <c r="C196" s="2"/>
      <c r="D196" s="23">
        <f>SUM(D188:D195)</f>
        <v>639489.97</v>
      </c>
      <c r="E196" s="103"/>
      <c r="F196" s="9">
        <f>F190</f>
        <v>0</v>
      </c>
      <c r="G196" s="41"/>
      <c r="H196" s="8">
        <f>SUM(H190:H195)</f>
        <v>0</v>
      </c>
      <c r="I196" s="8"/>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row>
    <row r="197" spans="1:114" s="46" customFormat="1" ht="56.25" customHeight="1">
      <c r="A197" s="254" t="s">
        <v>31</v>
      </c>
      <c r="B197" s="261"/>
      <c r="C197" s="156" t="s">
        <v>228</v>
      </c>
      <c r="D197" s="59">
        <v>265899.98</v>
      </c>
      <c r="E197" s="105" t="s">
        <v>87</v>
      </c>
      <c r="F197" s="266"/>
      <c r="G197" s="268"/>
      <c r="H197" s="57"/>
      <c r="I197" s="14"/>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row>
    <row r="198" spans="1:114" s="46" customFormat="1" ht="18" customHeight="1">
      <c r="A198" s="255"/>
      <c r="B198" s="265"/>
      <c r="C198" s="168" t="s">
        <v>26</v>
      </c>
      <c r="D198" s="59">
        <v>3050</v>
      </c>
      <c r="E198" s="122" t="s">
        <v>198</v>
      </c>
      <c r="F198" s="267"/>
      <c r="G198" s="269"/>
      <c r="H198" s="8"/>
      <c r="I198" s="8"/>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row>
    <row r="199" spans="1:114" s="46" customFormat="1" ht="18.75" customHeight="1">
      <c r="A199" s="153" t="s">
        <v>15</v>
      </c>
      <c r="B199" s="22">
        <f>B197</f>
        <v>0</v>
      </c>
      <c r="C199" s="2"/>
      <c r="D199" s="23">
        <f>SUM(D197:D198)</f>
        <v>268949.98</v>
      </c>
      <c r="E199" s="22"/>
      <c r="F199" s="9">
        <f>F197</f>
        <v>0</v>
      </c>
      <c r="G199" s="41"/>
      <c r="H199" s="8">
        <f>SUM(H197:H198)</f>
        <v>0</v>
      </c>
      <c r="I199" s="8"/>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row>
    <row r="200" spans="1:114" s="46" customFormat="1" ht="108.75" customHeight="1">
      <c r="A200" s="254" t="s">
        <v>41</v>
      </c>
      <c r="B200" s="261">
        <f>420+26400+24</f>
        <v>26844</v>
      </c>
      <c r="C200" s="156" t="s">
        <v>229</v>
      </c>
      <c r="D200" s="59">
        <v>441879.3</v>
      </c>
      <c r="E200" s="105" t="s">
        <v>87</v>
      </c>
      <c r="F200" s="266"/>
      <c r="G200" s="268"/>
      <c r="H200" s="8"/>
      <c r="I200" s="8"/>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row>
    <row r="201" spans="1:114" s="46" customFormat="1" ht="56.25" customHeight="1">
      <c r="A201" s="260"/>
      <c r="B201" s="262"/>
      <c r="C201" s="128" t="s">
        <v>163</v>
      </c>
      <c r="D201" s="109">
        <f>6420+8100+370</f>
        <v>14890</v>
      </c>
      <c r="E201" s="105" t="s">
        <v>108</v>
      </c>
      <c r="F201" s="270"/>
      <c r="G201" s="271"/>
      <c r="H201" s="8"/>
      <c r="I201" s="8"/>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row>
    <row r="202" spans="1:114" s="46" customFormat="1" ht="19.5" customHeight="1">
      <c r="A202" s="260"/>
      <c r="B202" s="262"/>
      <c r="C202" s="165" t="s">
        <v>195</v>
      </c>
      <c r="D202" s="109"/>
      <c r="E202" s="122"/>
      <c r="F202" s="270"/>
      <c r="G202" s="271"/>
      <c r="H202" s="8"/>
      <c r="I202" s="8"/>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row>
    <row r="203" spans="1:114" s="46" customFormat="1" ht="20.25" customHeight="1">
      <c r="A203" s="255"/>
      <c r="B203" s="265"/>
      <c r="C203" s="152" t="s">
        <v>26</v>
      </c>
      <c r="D203" s="82">
        <v>4270</v>
      </c>
      <c r="E203" s="78" t="s">
        <v>198</v>
      </c>
      <c r="F203" s="267"/>
      <c r="G203" s="269"/>
      <c r="H203" s="59"/>
      <c r="I203" s="96"/>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row>
    <row r="204" spans="1:114" s="46" customFormat="1" ht="23.25" customHeight="1">
      <c r="A204" s="153" t="s">
        <v>15</v>
      </c>
      <c r="B204" s="22">
        <f>B200</f>
        <v>26844</v>
      </c>
      <c r="C204" s="2"/>
      <c r="D204" s="23">
        <f>SUM(D200:D203)</f>
        <v>461039.3</v>
      </c>
      <c r="E204" s="103"/>
      <c r="F204" s="9">
        <f>F200</f>
        <v>0</v>
      </c>
      <c r="G204" s="41"/>
      <c r="H204" s="8">
        <f>SUM(H200:H203)</f>
        <v>0</v>
      </c>
      <c r="I204" s="8"/>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row>
    <row r="205" spans="1:114" s="46" customFormat="1" ht="38.25" customHeight="1">
      <c r="A205" s="258" t="s">
        <v>79</v>
      </c>
      <c r="B205" s="256"/>
      <c r="C205" s="21" t="s">
        <v>85</v>
      </c>
      <c r="D205" s="60">
        <v>413673.75</v>
      </c>
      <c r="E205" s="125" t="s">
        <v>86</v>
      </c>
      <c r="F205" s="9"/>
      <c r="G205" s="41"/>
      <c r="H205" s="8"/>
      <c r="I205" s="8"/>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row>
    <row r="206" spans="1:114" s="46" customFormat="1" ht="13.5" customHeight="1">
      <c r="A206" s="263"/>
      <c r="B206" s="264"/>
      <c r="C206" s="21"/>
      <c r="D206" s="60"/>
      <c r="E206" s="103"/>
      <c r="F206" s="9"/>
      <c r="G206" s="41"/>
      <c r="H206" s="8"/>
      <c r="I206" s="8"/>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row>
    <row r="207" spans="1:114" s="46" customFormat="1" ht="16.5" customHeight="1">
      <c r="A207" s="259"/>
      <c r="B207" s="257"/>
      <c r="C207" s="21"/>
      <c r="D207" s="60"/>
      <c r="E207" s="59"/>
      <c r="F207" s="12"/>
      <c r="G207" s="41"/>
      <c r="H207" s="5"/>
      <c r="I207" s="14"/>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row>
    <row r="208" spans="1:114" s="46" customFormat="1" ht="23.25" customHeight="1">
      <c r="A208" s="153" t="s">
        <v>15</v>
      </c>
      <c r="B208" s="22">
        <v>0</v>
      </c>
      <c r="C208" s="2"/>
      <c r="D208" s="23">
        <f>SUM(D205:D207)</f>
        <v>413673.75</v>
      </c>
      <c r="E208" s="22"/>
      <c r="F208" s="9">
        <v>0</v>
      </c>
      <c r="G208" s="41"/>
      <c r="H208" s="50">
        <f>SUM(H207)</f>
        <v>0</v>
      </c>
      <c r="I208" s="8"/>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row>
    <row r="209" spans="1:114" s="46" customFormat="1" ht="95.25" customHeight="1">
      <c r="A209" s="254" t="s">
        <v>47</v>
      </c>
      <c r="B209" s="261">
        <v>806</v>
      </c>
      <c r="C209" s="152" t="s">
        <v>230</v>
      </c>
      <c r="D209" s="82">
        <v>61053.85</v>
      </c>
      <c r="E209" s="105" t="s">
        <v>87</v>
      </c>
      <c r="F209" s="6"/>
      <c r="G209" s="41"/>
      <c r="H209" s="57"/>
      <c r="I209" s="14"/>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row>
    <row r="210" spans="1:114" s="46" customFormat="1" ht="31.5" customHeight="1">
      <c r="A210" s="260"/>
      <c r="B210" s="262"/>
      <c r="C210" s="152" t="s">
        <v>134</v>
      </c>
      <c r="D210" s="82">
        <v>4320</v>
      </c>
      <c r="E210" s="122" t="s">
        <v>117</v>
      </c>
      <c r="F210" s="6"/>
      <c r="G210" s="41"/>
      <c r="H210" s="57"/>
      <c r="I210" s="14"/>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row>
    <row r="211" spans="1:114" s="46" customFormat="1" ht="21" customHeight="1">
      <c r="A211" s="255"/>
      <c r="B211" s="265"/>
      <c r="C211" s="156" t="s">
        <v>196</v>
      </c>
      <c r="D211" s="82"/>
      <c r="E211" s="16"/>
      <c r="F211" s="6"/>
      <c r="G211" s="41"/>
      <c r="H211" s="57"/>
      <c r="I211" s="14"/>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row>
    <row r="212" spans="1:114" s="46" customFormat="1" ht="24.75" customHeight="1">
      <c r="A212" s="153" t="s">
        <v>15</v>
      </c>
      <c r="B212" s="22">
        <f>B209</f>
        <v>806</v>
      </c>
      <c r="C212" s="2"/>
      <c r="D212" s="23">
        <f>SUM(D209:D211)</f>
        <v>65373.85</v>
      </c>
      <c r="E212" s="22"/>
      <c r="F212" s="9"/>
      <c r="G212" s="41"/>
      <c r="H212" s="8">
        <f>H209</f>
        <v>0</v>
      </c>
      <c r="I212" s="8"/>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row>
    <row r="213" spans="1:114" s="46" customFormat="1" ht="24.75" customHeight="1">
      <c r="A213" s="254" t="s">
        <v>36</v>
      </c>
      <c r="B213" s="256"/>
      <c r="C213" s="21" t="s">
        <v>208</v>
      </c>
      <c r="D213" s="60">
        <v>24.3</v>
      </c>
      <c r="E213" s="105" t="s">
        <v>87</v>
      </c>
      <c r="F213" s="9"/>
      <c r="G213" s="41"/>
      <c r="H213" s="8"/>
      <c r="I213" s="8"/>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row>
    <row r="214" spans="1:114" s="46" customFormat="1" ht="15.75" customHeight="1">
      <c r="A214" s="255"/>
      <c r="B214" s="257"/>
      <c r="C214" s="152"/>
      <c r="D214" s="82"/>
      <c r="E214" s="16"/>
      <c r="F214" s="6"/>
      <c r="G214" s="41"/>
      <c r="H214" s="57"/>
      <c r="I214" s="14"/>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row>
    <row r="215" spans="1:114" s="46" customFormat="1" ht="20.25" customHeight="1">
      <c r="A215" s="153" t="s">
        <v>15</v>
      </c>
      <c r="B215" s="22">
        <f>B214</f>
        <v>0</v>
      </c>
      <c r="C215" s="2"/>
      <c r="D215" s="23">
        <f>SUM(D213:D214)</f>
        <v>24.3</v>
      </c>
      <c r="E215" s="22"/>
      <c r="F215" s="9"/>
      <c r="G215" s="41"/>
      <c r="H215" s="8">
        <f>H214</f>
        <v>0</v>
      </c>
      <c r="I215" s="8"/>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row>
    <row r="216" spans="1:114" s="46" customFormat="1" ht="80.25" customHeight="1">
      <c r="A216" s="254" t="s">
        <v>43</v>
      </c>
      <c r="B216" s="256"/>
      <c r="C216" s="152" t="s">
        <v>201</v>
      </c>
      <c r="D216" s="59">
        <v>56007.19</v>
      </c>
      <c r="E216" s="105" t="s">
        <v>87</v>
      </c>
      <c r="F216" s="9"/>
      <c r="G216" s="41"/>
      <c r="H216" s="8"/>
      <c r="I216" s="8"/>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row>
    <row r="217" spans="1:114" s="46" customFormat="1" ht="30.75" customHeight="1">
      <c r="A217" s="255"/>
      <c r="B217" s="257"/>
      <c r="C217" s="152"/>
      <c r="D217" s="83"/>
      <c r="E217" s="16"/>
      <c r="F217" s="6"/>
      <c r="G217" s="41"/>
      <c r="H217" s="57"/>
      <c r="I217" s="14"/>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row>
    <row r="218" spans="1:114" s="46" customFormat="1" ht="23.25" customHeight="1">
      <c r="A218" s="153" t="s">
        <v>15</v>
      </c>
      <c r="B218" s="22">
        <f>B217</f>
        <v>0</v>
      </c>
      <c r="C218" s="2"/>
      <c r="D218" s="23">
        <f>SUM(D216:D217)</f>
        <v>56007.19</v>
      </c>
      <c r="E218" s="22"/>
      <c r="F218" s="9"/>
      <c r="G218" s="41"/>
      <c r="H218" s="8">
        <f>H217</f>
        <v>0</v>
      </c>
      <c r="I218" s="8"/>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row>
    <row r="219" spans="1:114" s="46" customFormat="1" ht="99.75" customHeight="1">
      <c r="A219" s="258" t="s">
        <v>52</v>
      </c>
      <c r="B219" s="256"/>
      <c r="C219" s="21" t="s">
        <v>230</v>
      </c>
      <c r="D219" s="60">
        <v>61053.85</v>
      </c>
      <c r="E219" s="105" t="s">
        <v>87</v>
      </c>
      <c r="F219" s="9"/>
      <c r="G219" s="41"/>
      <c r="H219" s="8"/>
      <c r="I219" s="8"/>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row>
    <row r="220" spans="1:114" s="46" customFormat="1" ht="28.5" customHeight="1">
      <c r="A220" s="259"/>
      <c r="B220" s="257"/>
      <c r="C220" s="21" t="s">
        <v>135</v>
      </c>
      <c r="D220" s="82">
        <v>4320</v>
      </c>
      <c r="E220" s="16" t="s">
        <v>117</v>
      </c>
      <c r="F220" s="9"/>
      <c r="G220" s="41"/>
      <c r="H220" s="57"/>
      <c r="I220" s="14"/>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row>
    <row r="221" spans="1:114" s="46" customFormat="1" ht="29.25" customHeight="1">
      <c r="A221" s="153" t="s">
        <v>15</v>
      </c>
      <c r="B221" s="22">
        <f>B220</f>
        <v>0</v>
      </c>
      <c r="C221" s="2"/>
      <c r="D221" s="23">
        <f>SUM(D219:D220)</f>
        <v>65373.85</v>
      </c>
      <c r="E221" s="22"/>
      <c r="F221" s="9"/>
      <c r="G221" s="41"/>
      <c r="H221" s="8">
        <f>H220</f>
        <v>0</v>
      </c>
      <c r="I221" s="8"/>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row>
    <row r="222" spans="1:114" s="46" customFormat="1" ht="39.75" customHeight="1">
      <c r="A222" s="78" t="s">
        <v>50</v>
      </c>
      <c r="B222" s="59"/>
      <c r="C222" s="21" t="s">
        <v>231</v>
      </c>
      <c r="D222" s="148">
        <v>85864.3</v>
      </c>
      <c r="E222" s="105" t="s">
        <v>87</v>
      </c>
      <c r="F222" s="6"/>
      <c r="G222" s="41"/>
      <c r="H222" s="57"/>
      <c r="I222" s="14"/>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row>
    <row r="223" spans="1:114" s="46" customFormat="1" ht="24.75" customHeight="1">
      <c r="A223" s="153" t="s">
        <v>15</v>
      </c>
      <c r="B223" s="22">
        <f>SUM(B222)</f>
        <v>0</v>
      </c>
      <c r="C223" s="2"/>
      <c r="D223" s="23">
        <f>D222</f>
        <v>85864.3</v>
      </c>
      <c r="E223" s="22"/>
      <c r="F223" s="9"/>
      <c r="G223" s="41"/>
      <c r="H223" s="8">
        <f>H222</f>
        <v>0</v>
      </c>
      <c r="I223" s="8"/>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row>
    <row r="224" spans="1:114" s="46" customFormat="1" ht="63">
      <c r="A224" s="254" t="s">
        <v>42</v>
      </c>
      <c r="B224" s="256"/>
      <c r="C224" s="21" t="s">
        <v>232</v>
      </c>
      <c r="D224" s="60">
        <v>56206.04</v>
      </c>
      <c r="E224" s="105" t="s">
        <v>87</v>
      </c>
      <c r="F224" s="9"/>
      <c r="G224" s="41"/>
      <c r="H224" s="8"/>
      <c r="I224" s="8"/>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5"/>
      <c r="CK224" s="45"/>
      <c r="CL224" s="45"/>
      <c r="CM224" s="45"/>
      <c r="CN224" s="45"/>
      <c r="CO224" s="45"/>
      <c r="CP224" s="45"/>
      <c r="CQ224" s="45"/>
      <c r="CR224" s="45"/>
      <c r="CS224" s="45"/>
      <c r="CT224" s="45"/>
      <c r="CU224" s="45"/>
      <c r="CV224" s="45"/>
      <c r="CW224" s="45"/>
      <c r="CX224" s="45"/>
      <c r="CY224" s="45"/>
      <c r="CZ224" s="45"/>
      <c r="DA224" s="45"/>
      <c r="DB224" s="45"/>
      <c r="DC224" s="45"/>
      <c r="DD224" s="45"/>
      <c r="DE224" s="45"/>
      <c r="DF224" s="45"/>
      <c r="DG224" s="45"/>
      <c r="DH224" s="45"/>
      <c r="DI224" s="45"/>
      <c r="DJ224" s="45"/>
    </row>
    <row r="225" spans="1:114" s="46" customFormat="1" ht="27.75" customHeight="1">
      <c r="A225" s="255"/>
      <c r="B225" s="257"/>
      <c r="C225" s="152" t="s">
        <v>122</v>
      </c>
      <c r="D225" s="82">
        <v>980</v>
      </c>
      <c r="E225" s="16" t="s">
        <v>108</v>
      </c>
      <c r="F225" s="6"/>
      <c r="G225" s="41"/>
      <c r="H225" s="57"/>
      <c r="I225" s="14"/>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row>
    <row r="226" spans="1:114" s="46" customFormat="1" ht="23.25" customHeight="1">
      <c r="A226" s="153" t="s">
        <v>15</v>
      </c>
      <c r="B226" s="22">
        <f>SUM(B224)</f>
        <v>0</v>
      </c>
      <c r="C226" s="2"/>
      <c r="D226" s="23">
        <f>SUM(D224:D225)</f>
        <v>57186.04</v>
      </c>
      <c r="E226" s="22"/>
      <c r="F226" s="9"/>
      <c r="G226" s="41"/>
      <c r="H226" s="8">
        <f>H225</f>
        <v>0</v>
      </c>
      <c r="I226" s="8"/>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row>
    <row r="227" spans="1:114" s="46" customFormat="1" ht="47.25">
      <c r="A227" s="254" t="s">
        <v>48</v>
      </c>
      <c r="B227" s="261"/>
      <c r="C227" s="152" t="s">
        <v>233</v>
      </c>
      <c r="D227" s="59">
        <v>51022.63</v>
      </c>
      <c r="E227" s="105" t="s">
        <v>87</v>
      </c>
      <c r="F227" s="6"/>
      <c r="G227" s="41"/>
      <c r="H227" s="57"/>
      <c r="I227" s="14"/>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row>
    <row r="228" spans="1:114" s="46" customFormat="1" ht="19.5" customHeight="1">
      <c r="A228" s="260"/>
      <c r="B228" s="262"/>
      <c r="C228" s="116"/>
      <c r="D228" s="59"/>
      <c r="E228" s="74"/>
      <c r="F228" s="6"/>
      <c r="G228" s="41"/>
      <c r="H228" s="8"/>
      <c r="I228" s="8"/>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c r="CO228" s="45"/>
      <c r="CP228" s="45"/>
      <c r="CQ228" s="45"/>
      <c r="CR228" s="45"/>
      <c r="CS228" s="45"/>
      <c r="CT228" s="45"/>
      <c r="CU228" s="45"/>
      <c r="CV228" s="45"/>
      <c r="CW228" s="45"/>
      <c r="CX228" s="45"/>
      <c r="CY228" s="45"/>
      <c r="CZ228" s="45"/>
      <c r="DA228" s="45"/>
      <c r="DB228" s="45"/>
      <c r="DC228" s="45"/>
      <c r="DD228" s="45"/>
      <c r="DE228" s="45"/>
      <c r="DF228" s="45"/>
      <c r="DG228" s="45"/>
      <c r="DH228" s="45"/>
      <c r="DI228" s="45"/>
      <c r="DJ228" s="45"/>
    </row>
    <row r="229" spans="1:114" s="46" customFormat="1" ht="24" customHeight="1">
      <c r="A229" s="169" t="s">
        <v>15</v>
      </c>
      <c r="B229" s="22">
        <f>B227</f>
        <v>0</v>
      </c>
      <c r="C229" s="116"/>
      <c r="D229" s="22">
        <f>D227+D228</f>
        <v>51022.63</v>
      </c>
      <c r="E229" s="85"/>
      <c r="F229" s="6"/>
      <c r="G229" s="41"/>
      <c r="H229" s="8">
        <f>H227+H228</f>
        <v>0</v>
      </c>
      <c r="I229" s="8"/>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c r="CR229" s="45"/>
      <c r="CS229" s="45"/>
      <c r="CT229" s="45"/>
      <c r="CU229" s="45"/>
      <c r="CV229" s="45"/>
      <c r="CW229" s="45"/>
      <c r="CX229" s="45"/>
      <c r="CY229" s="45"/>
      <c r="CZ229" s="45"/>
      <c r="DA229" s="45"/>
      <c r="DB229" s="45"/>
      <c r="DC229" s="45"/>
      <c r="DD229" s="45"/>
      <c r="DE229" s="45"/>
      <c r="DF229" s="45"/>
      <c r="DG229" s="45"/>
      <c r="DH229" s="45"/>
      <c r="DI229" s="45"/>
      <c r="DJ229" s="45"/>
    </row>
    <row r="230" spans="1:114" s="46" customFormat="1" ht="39" customHeight="1">
      <c r="A230" s="78" t="s">
        <v>51</v>
      </c>
      <c r="B230" s="59"/>
      <c r="C230" s="152" t="s">
        <v>211</v>
      </c>
      <c r="D230" s="82">
        <v>24.3</v>
      </c>
      <c r="E230" s="105" t="s">
        <v>87</v>
      </c>
      <c r="F230" s="6"/>
      <c r="G230" s="41"/>
      <c r="H230" s="5"/>
      <c r="I230" s="14"/>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row>
    <row r="231" spans="1:114" s="46" customFormat="1" ht="24.75" customHeight="1" thickBot="1">
      <c r="A231" s="153" t="s">
        <v>15</v>
      </c>
      <c r="B231" s="39">
        <f>B230</f>
        <v>0</v>
      </c>
      <c r="C231" s="2"/>
      <c r="D231" s="89">
        <f>D230</f>
        <v>24.3</v>
      </c>
      <c r="E231" s="22"/>
      <c r="F231" s="9"/>
      <c r="G231" s="41"/>
      <c r="H231" s="50">
        <f>H230</f>
        <v>0</v>
      </c>
      <c r="I231" s="8"/>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row>
    <row r="232" spans="1:114" s="67" customFormat="1" ht="60.75" customHeight="1" thickBot="1">
      <c r="A232" s="163" t="s">
        <v>57</v>
      </c>
      <c r="B232" s="22">
        <f>SUM(B221+B88+B93+B96+B101+B113+B130+B133+B141+B152+B158+B229+B164+B167+B170+B176+B183+B187+B196+B199+B204+B212+B215+B218+B223+B226+B231)</f>
        <v>37039.01</v>
      </c>
      <c r="C232" s="22"/>
      <c r="D232" s="101">
        <f>SUM(D221+D88+D93+D229+D96+D101+D113+D130+D133+D141+D152+D158+D164+D167+D170+D176+D183+D187+D196+D199+D204+D212+D215+D218+D223+D226+D231+D208)</f>
        <v>12824065.220000004</v>
      </c>
      <c r="E232" s="22">
        <f>SUM(E221+E75+E78+E88+E93+E229+E96+E101+E113+E130+E133+E141+E152+E158+E164+E167+E170+E176+E183+E187+E196+E199+E204+E212+E215+E218+E223+E226+E231)</f>
        <v>0</v>
      </c>
      <c r="F232" s="22">
        <f>SUM(F221+F75+F78+F88+F93+F229+F96+F101+F113+F130+F133+F141+F152+F158+F164+F167+F170+F176+F183+F187+F196+F199+F204+F212+F215+F218+F223+F226+F231)</f>
        <v>0</v>
      </c>
      <c r="G232" s="22">
        <f>SUM(G221+G75+G78+G88+G93+G229+G96+G101+G113+G130+G133+G141+G152+G158+G164+G167+G170+G176+G183+G187+G196+G199+G204+G212+G215+G218+G223+G226+G231)</f>
        <v>0</v>
      </c>
      <c r="H232" s="22">
        <f>SUM(H221+H75+H78+H88+H93+H229+H96+H101+H113+H130+H133+H141+H152+H158+H164+H167+H170+H176+H183+H187+H196+H199+H204+H212+H215+H218+H223+H226+H231)+H208</f>
        <v>0</v>
      </c>
      <c r="I232" s="22">
        <f>SUM(I221+I75+I78+I88+I93+I229+I96+I101+I113+I130+I133+I141+I152+I158+I164+I167+I170+I176+I183+I187+I196+I199+I204+I212+I215+I218+I223+I226+I231)</f>
        <v>0</v>
      </c>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c r="CQ232" s="66"/>
      <c r="CR232" s="66"/>
      <c r="CS232" s="66"/>
      <c r="CT232" s="66"/>
      <c r="CU232" s="66"/>
      <c r="CV232" s="66"/>
      <c r="CW232" s="66"/>
      <c r="CX232" s="66"/>
      <c r="CY232" s="66"/>
      <c r="CZ232" s="66"/>
      <c r="DA232" s="66"/>
      <c r="DB232" s="66"/>
      <c r="DC232" s="66"/>
      <c r="DD232" s="66"/>
      <c r="DE232" s="66"/>
      <c r="DF232" s="66"/>
      <c r="DG232" s="66"/>
      <c r="DH232" s="66"/>
      <c r="DI232" s="66"/>
      <c r="DJ232" s="66"/>
    </row>
    <row r="233" spans="1:114" s="67" customFormat="1" ht="79.5" customHeight="1" thickBot="1">
      <c r="A233" s="153" t="s">
        <v>58</v>
      </c>
      <c r="B233" s="23">
        <f>SUM(B79+B232)</f>
        <v>97133.01000000001</v>
      </c>
      <c r="C233" s="23"/>
      <c r="D233" s="23">
        <f aca="true" t="shared" si="0" ref="D233:I233">SUM(D79+D232)</f>
        <v>13501398.010000005</v>
      </c>
      <c r="E233" s="23">
        <f t="shared" si="0"/>
        <v>0</v>
      </c>
      <c r="F233" s="23">
        <f t="shared" si="0"/>
        <v>0</v>
      </c>
      <c r="G233" s="23">
        <f t="shared" si="0"/>
        <v>0</v>
      </c>
      <c r="H233" s="23">
        <f t="shared" si="0"/>
        <v>0</v>
      </c>
      <c r="I233" s="23">
        <f t="shared" si="0"/>
        <v>0</v>
      </c>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6"/>
      <c r="BR233" s="66"/>
      <c r="BS233" s="66"/>
      <c r="BT233" s="66"/>
      <c r="BU233" s="66"/>
      <c r="BV233" s="66"/>
      <c r="BW233" s="66"/>
      <c r="BX233" s="66"/>
      <c r="BY233" s="66"/>
      <c r="BZ233" s="66"/>
      <c r="CA233" s="66"/>
      <c r="CB233" s="66"/>
      <c r="CC233" s="66"/>
      <c r="CD233" s="66"/>
      <c r="CE233" s="66"/>
      <c r="CF233" s="66"/>
      <c r="CG233" s="66"/>
      <c r="CH233" s="66"/>
      <c r="CI233" s="66"/>
      <c r="CJ233" s="66"/>
      <c r="CK233" s="66"/>
      <c r="CL233" s="66"/>
      <c r="CM233" s="66"/>
      <c r="CN233" s="66"/>
      <c r="CO233" s="66"/>
      <c r="CP233" s="66"/>
      <c r="CQ233" s="66"/>
      <c r="CR233" s="66"/>
      <c r="CS233" s="66"/>
      <c r="CT233" s="66"/>
      <c r="CU233" s="66"/>
      <c r="CV233" s="66"/>
      <c r="CW233" s="66"/>
      <c r="CX233" s="66"/>
      <c r="CY233" s="66"/>
      <c r="CZ233" s="66"/>
      <c r="DA233" s="66"/>
      <c r="DB233" s="66"/>
      <c r="DC233" s="66"/>
      <c r="DD233" s="66"/>
      <c r="DE233" s="66"/>
      <c r="DF233" s="66"/>
      <c r="DG233" s="66"/>
      <c r="DH233" s="66"/>
      <c r="DI233" s="66"/>
      <c r="DJ233" s="66"/>
    </row>
    <row r="234" spans="1:114" s="70" customFormat="1" ht="9.75" customHeight="1" hidden="1">
      <c r="A234" s="68"/>
      <c r="B234" s="68"/>
      <c r="C234" s="68"/>
      <c r="D234" s="90"/>
      <c r="E234" s="71"/>
      <c r="F234" s="69"/>
      <c r="G234" s="69"/>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row>
    <row r="235" spans="1:114" s="70" customFormat="1" ht="34.5" customHeight="1">
      <c r="A235" s="71" t="s">
        <v>59</v>
      </c>
      <c r="B235" s="71"/>
      <c r="C235" s="71"/>
      <c r="D235" s="90"/>
      <c r="E235" s="71" t="s">
        <v>24</v>
      </c>
      <c r="F235" s="69"/>
      <c r="G235" s="25" t="s">
        <v>61</v>
      </c>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row>
    <row r="236" spans="1:9" ht="20.25" customHeight="1">
      <c r="A236" s="68" t="s">
        <v>25</v>
      </c>
      <c r="B236" s="68"/>
      <c r="C236" s="26"/>
      <c r="D236" s="91"/>
      <c r="E236" s="95"/>
      <c r="F236" s="24"/>
      <c r="G236" s="24" t="s">
        <v>84</v>
      </c>
      <c r="H236" s="13"/>
      <c r="I236" s="13"/>
    </row>
    <row r="237" spans="1:10" ht="26.25" customHeight="1">
      <c r="A237" s="26" t="s">
        <v>62</v>
      </c>
      <c r="B237" s="26"/>
      <c r="C237" s="26"/>
      <c r="D237" s="90"/>
      <c r="E237" s="93"/>
      <c r="F237" s="72"/>
      <c r="G237" s="72"/>
      <c r="H237" s="13"/>
      <c r="I237" s="47"/>
      <c r="J237" s="13" t="s">
        <v>60</v>
      </c>
    </row>
    <row r="238" spans="1:9" ht="20.25" customHeight="1">
      <c r="A238" s="26"/>
      <c r="B238" s="26"/>
      <c r="C238" s="26"/>
      <c r="D238" s="90"/>
      <c r="E238" s="93"/>
      <c r="F238" s="72"/>
      <c r="G238" s="72"/>
      <c r="H238" s="13"/>
      <c r="I238" s="13"/>
    </row>
    <row r="239" spans="1:9" ht="12" customHeight="1">
      <c r="A239" s="27"/>
      <c r="B239" s="27"/>
      <c r="C239" s="27"/>
      <c r="D239" s="92"/>
      <c r="E239" s="27"/>
      <c r="F239" s="13"/>
      <c r="G239" s="13"/>
      <c r="H239" s="13"/>
      <c r="I239" s="13"/>
    </row>
    <row r="240" spans="1:9" ht="15.75">
      <c r="A240" s="27"/>
      <c r="B240" s="27"/>
      <c r="C240" s="27"/>
      <c r="D240" s="92"/>
      <c r="E240" s="27"/>
      <c r="F240" s="13"/>
      <c r="G240" s="13"/>
      <c r="H240" s="13"/>
      <c r="I240" s="13"/>
    </row>
    <row r="241" spans="1:9" ht="15.75">
      <c r="A241" s="27"/>
      <c r="B241" s="27"/>
      <c r="C241" s="27"/>
      <c r="D241" s="92"/>
      <c r="E241" s="27"/>
      <c r="F241" s="13"/>
      <c r="G241" s="13"/>
      <c r="H241" s="13"/>
      <c r="I241" s="13"/>
    </row>
  </sheetData>
  <sheetProtection/>
  <mergeCells count="140">
    <mergeCell ref="G4:I4"/>
    <mergeCell ref="A5:I5"/>
    <mergeCell ref="A6:I6"/>
    <mergeCell ref="A7:I7"/>
    <mergeCell ref="A8:A11"/>
    <mergeCell ref="B8:E8"/>
    <mergeCell ref="F8:I8"/>
    <mergeCell ref="B9:C10"/>
    <mergeCell ref="D9:E10"/>
    <mergeCell ref="F9:G10"/>
    <mergeCell ref="H9:I10"/>
    <mergeCell ref="A12:A14"/>
    <mergeCell ref="B12:B14"/>
    <mergeCell ref="A16:A19"/>
    <mergeCell ref="B16:B19"/>
    <mergeCell ref="A21:A24"/>
    <mergeCell ref="B21:B23"/>
    <mergeCell ref="A25:A26"/>
    <mergeCell ref="B25:B26"/>
    <mergeCell ref="A28:A30"/>
    <mergeCell ref="B28:B30"/>
    <mergeCell ref="A32:A34"/>
    <mergeCell ref="B32:B34"/>
    <mergeCell ref="F32:F33"/>
    <mergeCell ref="G32:G33"/>
    <mergeCell ref="H32:H33"/>
    <mergeCell ref="I32:I33"/>
    <mergeCell ref="A36:A37"/>
    <mergeCell ref="B36:B37"/>
    <mergeCell ref="A39:A40"/>
    <mergeCell ref="B39:B40"/>
    <mergeCell ref="A42:A44"/>
    <mergeCell ref="B42:B44"/>
    <mergeCell ref="A46:A47"/>
    <mergeCell ref="B46:B47"/>
    <mergeCell ref="A49:A50"/>
    <mergeCell ref="B49:B50"/>
    <mergeCell ref="A52:A55"/>
    <mergeCell ref="B52:B55"/>
    <mergeCell ref="A57:A58"/>
    <mergeCell ref="B57:B58"/>
    <mergeCell ref="A60:A61"/>
    <mergeCell ref="B60:B61"/>
    <mergeCell ref="A63:A64"/>
    <mergeCell ref="B63:B64"/>
    <mergeCell ref="A66:A67"/>
    <mergeCell ref="B66:B67"/>
    <mergeCell ref="A69:A71"/>
    <mergeCell ref="B69:B71"/>
    <mergeCell ref="A73:A74"/>
    <mergeCell ref="B73:B74"/>
    <mergeCell ref="A76:A77"/>
    <mergeCell ref="B76:B77"/>
    <mergeCell ref="A80:A87"/>
    <mergeCell ref="B80:B87"/>
    <mergeCell ref="A89:A92"/>
    <mergeCell ref="B89:B92"/>
    <mergeCell ref="F89:F92"/>
    <mergeCell ref="G89:G92"/>
    <mergeCell ref="A94:A95"/>
    <mergeCell ref="B94:B95"/>
    <mergeCell ref="F94:F95"/>
    <mergeCell ref="G94:G95"/>
    <mergeCell ref="A97:A100"/>
    <mergeCell ref="B97:B100"/>
    <mergeCell ref="F97:F100"/>
    <mergeCell ref="G97:G100"/>
    <mergeCell ref="A102:A112"/>
    <mergeCell ref="B102:B112"/>
    <mergeCell ref="F107:F112"/>
    <mergeCell ref="G107:G112"/>
    <mergeCell ref="A124:A129"/>
    <mergeCell ref="B124:B129"/>
    <mergeCell ref="F127:F129"/>
    <mergeCell ref="G127:G129"/>
    <mergeCell ref="A131:A132"/>
    <mergeCell ref="B131:B132"/>
    <mergeCell ref="F131:F132"/>
    <mergeCell ref="G131:G132"/>
    <mergeCell ref="A134:A140"/>
    <mergeCell ref="B134:B140"/>
    <mergeCell ref="F134:F140"/>
    <mergeCell ref="G134:G140"/>
    <mergeCell ref="A142:A151"/>
    <mergeCell ref="B142:B151"/>
    <mergeCell ref="F142:F151"/>
    <mergeCell ref="G142:G151"/>
    <mergeCell ref="A153:A157"/>
    <mergeCell ref="B153:B157"/>
    <mergeCell ref="F153:F157"/>
    <mergeCell ref="G153:G157"/>
    <mergeCell ref="A159:A163"/>
    <mergeCell ref="B159:B163"/>
    <mergeCell ref="F159:F163"/>
    <mergeCell ref="G159:G163"/>
    <mergeCell ref="A165:A166"/>
    <mergeCell ref="B165:B166"/>
    <mergeCell ref="A168:A169"/>
    <mergeCell ref="B168:B169"/>
    <mergeCell ref="F168:F169"/>
    <mergeCell ref="G168:G169"/>
    <mergeCell ref="A171:A175"/>
    <mergeCell ref="B171:B175"/>
    <mergeCell ref="F171:F175"/>
    <mergeCell ref="G171:G175"/>
    <mergeCell ref="A177:A182"/>
    <mergeCell ref="B177:B182"/>
    <mergeCell ref="F180:F182"/>
    <mergeCell ref="G180:G182"/>
    <mergeCell ref="A184:A186"/>
    <mergeCell ref="B184:B186"/>
    <mergeCell ref="C184:C185"/>
    <mergeCell ref="F184:F186"/>
    <mergeCell ref="G184:G186"/>
    <mergeCell ref="A188:A195"/>
    <mergeCell ref="B188:B195"/>
    <mergeCell ref="F190:F195"/>
    <mergeCell ref="G190:G195"/>
    <mergeCell ref="A197:A198"/>
    <mergeCell ref="B197:B198"/>
    <mergeCell ref="F197:F198"/>
    <mergeCell ref="G197:G198"/>
    <mergeCell ref="A200:A203"/>
    <mergeCell ref="B200:B203"/>
    <mergeCell ref="F200:F203"/>
    <mergeCell ref="G200:G203"/>
    <mergeCell ref="A205:A207"/>
    <mergeCell ref="B205:B207"/>
    <mergeCell ref="A209:A211"/>
    <mergeCell ref="B209:B211"/>
    <mergeCell ref="A213:A214"/>
    <mergeCell ref="B213:B214"/>
    <mergeCell ref="A216:A217"/>
    <mergeCell ref="B216:B217"/>
    <mergeCell ref="A219:A220"/>
    <mergeCell ref="B219:B220"/>
    <mergeCell ref="A224:A225"/>
    <mergeCell ref="B224:B225"/>
    <mergeCell ref="A227:A228"/>
    <mergeCell ref="B227:B228"/>
  </mergeCells>
  <printOptions/>
  <pageMargins left="0.2362204724409449" right="0.2362204724409449" top="0.35433070866141736" bottom="0.35433070866141736" header="0.31496062992125984" footer="0.31496062992125984"/>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DJ261"/>
  <sheetViews>
    <sheetView zoomScalePageLayoutView="0" workbookViewId="0" topLeftCell="A9">
      <pane xSplit="2" ySplit="3" topLeftCell="C247" activePane="bottomRight" state="frozen"/>
      <selection pane="topLeft" activeCell="A9" sqref="A9"/>
      <selection pane="topRight" activeCell="C9" sqref="C9"/>
      <selection pane="bottomLeft" activeCell="A12" sqref="A12"/>
      <selection pane="bottomRight" activeCell="A8" sqref="A1:IV16384"/>
    </sheetView>
  </sheetViews>
  <sheetFormatPr defaultColWidth="25.7109375" defaultRowHeight="15"/>
  <cols>
    <col min="1" max="1" width="14.28125" style="28" customWidth="1"/>
    <col min="2" max="2" width="11.8515625" style="28" customWidth="1"/>
    <col min="3" max="3" width="39.00390625" style="28" customWidth="1"/>
    <col min="4" max="4" width="14.57421875" style="73" customWidth="1"/>
    <col min="5" max="5" width="19.140625" style="28" customWidth="1"/>
    <col min="6" max="6" width="7.421875" style="1" customWidth="1"/>
    <col min="7" max="7" width="7.28125" style="1" customWidth="1"/>
    <col min="8" max="8" width="9.28125" style="1" customWidth="1"/>
    <col min="9" max="9" width="9.140625" style="1" customWidth="1"/>
    <col min="10" max="114" width="25.7109375" style="13" customWidth="1"/>
    <col min="115" max="16384" width="25.7109375" style="1" customWidth="1"/>
  </cols>
  <sheetData>
    <row r="1" spans="3:9" ht="18" customHeight="1">
      <c r="C1" s="28" t="s">
        <v>24</v>
      </c>
      <c r="F1" s="29" t="s">
        <v>49</v>
      </c>
      <c r="I1" s="29"/>
    </row>
    <row r="2" spans="6:9" ht="18" customHeight="1">
      <c r="F2" s="29" t="s">
        <v>45</v>
      </c>
      <c r="I2" s="29"/>
    </row>
    <row r="3" spans="6:9" ht="16.5" customHeight="1">
      <c r="F3" s="29" t="s">
        <v>46</v>
      </c>
      <c r="I3" s="29"/>
    </row>
    <row r="4" spans="7:9" ht="15.75">
      <c r="G4" s="297"/>
      <c r="H4" s="297"/>
      <c r="I4" s="297"/>
    </row>
    <row r="5" spans="1:9" ht="15.75">
      <c r="A5" s="298" t="s">
        <v>19</v>
      </c>
      <c r="B5" s="298"/>
      <c r="C5" s="298"/>
      <c r="D5" s="298"/>
      <c r="E5" s="298"/>
      <c r="F5" s="298"/>
      <c r="G5" s="298"/>
      <c r="H5" s="298"/>
      <c r="I5" s="298"/>
    </row>
    <row r="6" spans="1:9" ht="15.75">
      <c r="A6" s="298" t="s">
        <v>244</v>
      </c>
      <c r="B6" s="298"/>
      <c r="C6" s="298"/>
      <c r="D6" s="298"/>
      <c r="E6" s="298"/>
      <c r="F6" s="298"/>
      <c r="G6" s="298"/>
      <c r="H6" s="298"/>
      <c r="I6" s="298"/>
    </row>
    <row r="7" spans="1:9" ht="26.25" customHeight="1">
      <c r="A7" s="298" t="s">
        <v>20</v>
      </c>
      <c r="B7" s="298"/>
      <c r="C7" s="298"/>
      <c r="D7" s="298"/>
      <c r="E7" s="298"/>
      <c r="F7" s="298"/>
      <c r="G7" s="298"/>
      <c r="H7" s="298"/>
      <c r="I7" s="298"/>
    </row>
    <row r="8" spans="1:10" ht="30" customHeight="1">
      <c r="A8" s="299" t="s">
        <v>21</v>
      </c>
      <c r="B8" s="294" t="s">
        <v>0</v>
      </c>
      <c r="C8" s="294"/>
      <c r="D8" s="294"/>
      <c r="E8" s="294"/>
      <c r="F8" s="294" t="s">
        <v>1</v>
      </c>
      <c r="G8" s="294"/>
      <c r="H8" s="294"/>
      <c r="I8" s="294"/>
      <c r="J8" s="36"/>
    </row>
    <row r="9" spans="1:10" ht="13.5" customHeight="1">
      <c r="A9" s="299"/>
      <c r="B9" s="299" t="s">
        <v>2</v>
      </c>
      <c r="C9" s="299"/>
      <c r="D9" s="299" t="s">
        <v>18</v>
      </c>
      <c r="E9" s="299"/>
      <c r="F9" s="294" t="s">
        <v>2</v>
      </c>
      <c r="G9" s="294"/>
      <c r="H9" s="294" t="s">
        <v>3</v>
      </c>
      <c r="I9" s="295"/>
      <c r="J9" s="36"/>
    </row>
    <row r="10" spans="1:10" ht="22.5" customHeight="1">
      <c r="A10" s="299"/>
      <c r="B10" s="299"/>
      <c r="C10" s="299"/>
      <c r="D10" s="299"/>
      <c r="E10" s="299"/>
      <c r="F10" s="294"/>
      <c r="G10" s="294"/>
      <c r="H10" s="295"/>
      <c r="I10" s="295"/>
      <c r="J10" s="36"/>
    </row>
    <row r="11" spans="1:10" ht="51" customHeight="1">
      <c r="A11" s="299"/>
      <c r="B11" s="16" t="s">
        <v>17</v>
      </c>
      <c r="C11" s="16" t="s">
        <v>4</v>
      </c>
      <c r="D11" s="16" t="s">
        <v>17</v>
      </c>
      <c r="E11" s="16" t="s">
        <v>256</v>
      </c>
      <c r="F11" s="14" t="s">
        <v>17</v>
      </c>
      <c r="G11" s="14" t="s">
        <v>4</v>
      </c>
      <c r="H11" s="14" t="s">
        <v>17</v>
      </c>
      <c r="I11" s="14" t="s">
        <v>6</v>
      </c>
      <c r="J11" s="36"/>
    </row>
    <row r="12" spans="1:10" ht="80.25" customHeight="1">
      <c r="A12" s="277" t="s">
        <v>63</v>
      </c>
      <c r="B12" s="296"/>
      <c r="C12" s="152" t="s">
        <v>201</v>
      </c>
      <c r="D12" s="59">
        <v>60991.75</v>
      </c>
      <c r="E12" s="105" t="s">
        <v>87</v>
      </c>
      <c r="F12" s="37"/>
      <c r="G12" s="32"/>
      <c r="H12" s="38"/>
      <c r="I12" s="15"/>
      <c r="J12" s="36"/>
    </row>
    <row r="13" spans="1:10" ht="36" customHeight="1">
      <c r="A13" s="277"/>
      <c r="B13" s="296"/>
      <c r="C13" s="116" t="s">
        <v>203</v>
      </c>
      <c r="D13" s="59">
        <v>18</v>
      </c>
      <c r="E13" s="105" t="s">
        <v>202</v>
      </c>
      <c r="F13" s="37"/>
      <c r="G13" s="32"/>
      <c r="H13" s="38"/>
      <c r="I13" s="15"/>
      <c r="J13" s="36"/>
    </row>
    <row r="14" spans="1:10" ht="38.25" customHeight="1">
      <c r="A14" s="277"/>
      <c r="B14" s="296"/>
      <c r="C14" s="149" t="s">
        <v>176</v>
      </c>
      <c r="D14" s="60">
        <f>1460+3740+384</f>
        <v>5584</v>
      </c>
      <c r="E14" s="105" t="s">
        <v>175</v>
      </c>
      <c r="F14" s="37"/>
      <c r="G14" s="32"/>
      <c r="H14" s="38"/>
      <c r="I14" s="30"/>
      <c r="J14" s="36"/>
    </row>
    <row r="15" spans="1:114" s="46" customFormat="1" ht="20.25" customHeight="1">
      <c r="A15" s="153" t="s">
        <v>14</v>
      </c>
      <c r="B15" s="39">
        <f>SUM(B12:B14)</f>
        <v>0</v>
      </c>
      <c r="C15" s="2"/>
      <c r="D15" s="79">
        <f>SUM(D12:D14)</f>
        <v>66593.75</v>
      </c>
      <c r="E15" s="76"/>
      <c r="F15" s="40"/>
      <c r="G15" s="41"/>
      <c r="H15" s="42">
        <f>SUM(H12:H14)</f>
        <v>0</v>
      </c>
      <c r="I15" s="31"/>
      <c r="J15" s="43"/>
      <c r="K15" s="44"/>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row>
    <row r="16" spans="1:11" ht="111" customHeight="1">
      <c r="A16" s="277" t="s">
        <v>64</v>
      </c>
      <c r="B16" s="278">
        <v>10924</v>
      </c>
      <c r="C16" s="152" t="s">
        <v>255</v>
      </c>
      <c r="D16" s="60">
        <f>65451.19+5971.8</f>
        <v>71422.99</v>
      </c>
      <c r="E16" s="105" t="s">
        <v>87</v>
      </c>
      <c r="F16" s="37"/>
      <c r="G16" s="32"/>
      <c r="H16" s="30"/>
      <c r="I16" s="15"/>
      <c r="J16" s="36"/>
      <c r="K16" s="47"/>
    </row>
    <row r="17" spans="1:11" ht="49.5" customHeight="1">
      <c r="A17" s="277"/>
      <c r="B17" s="279"/>
      <c r="C17" s="116" t="s">
        <v>177</v>
      </c>
      <c r="D17" s="60"/>
      <c r="E17" s="105"/>
      <c r="F17" s="37"/>
      <c r="G17" s="32"/>
      <c r="H17" s="30"/>
      <c r="I17" s="15"/>
      <c r="J17" s="36"/>
      <c r="K17" s="47"/>
    </row>
    <row r="18" spans="1:11" ht="35.25" customHeight="1">
      <c r="A18" s="277"/>
      <c r="B18" s="279"/>
      <c r="C18" s="116" t="s">
        <v>203</v>
      </c>
      <c r="D18" s="59">
        <v>18</v>
      </c>
      <c r="E18" s="105" t="s">
        <v>202</v>
      </c>
      <c r="F18" s="37"/>
      <c r="G18" s="32"/>
      <c r="H18" s="30"/>
      <c r="I18" s="15"/>
      <c r="J18" s="36"/>
      <c r="K18" s="47"/>
    </row>
    <row r="19" spans="1:11" ht="37.5" customHeight="1">
      <c r="A19" s="277"/>
      <c r="B19" s="280"/>
      <c r="C19" s="149" t="s">
        <v>176</v>
      </c>
      <c r="D19" s="60">
        <f>1733.75+4080+432</f>
        <v>6245.75</v>
      </c>
      <c r="E19" s="105" t="s">
        <v>175</v>
      </c>
      <c r="F19" s="37"/>
      <c r="G19" s="32"/>
      <c r="H19" s="30"/>
      <c r="I19" s="30"/>
      <c r="J19" s="36"/>
      <c r="K19" s="47"/>
    </row>
    <row r="20" spans="1:114" s="46" customFormat="1" ht="22.5" customHeight="1">
      <c r="A20" s="153" t="s">
        <v>14</v>
      </c>
      <c r="B20" s="39">
        <f>SUM(B16)</f>
        <v>10924</v>
      </c>
      <c r="C20" s="152"/>
      <c r="D20" s="64">
        <f>SUM(D16:D19)</f>
        <v>77686.74</v>
      </c>
      <c r="E20" s="76"/>
      <c r="F20" s="40"/>
      <c r="G20" s="41"/>
      <c r="H20" s="31">
        <f>SUM(H16:H19)</f>
        <v>0</v>
      </c>
      <c r="I20" s="31"/>
      <c r="J20" s="43"/>
      <c r="K20" s="4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row>
    <row r="21" spans="1:114" s="46" customFormat="1" ht="31.5" customHeight="1">
      <c r="A21" s="277" t="s">
        <v>65</v>
      </c>
      <c r="B21" s="278"/>
      <c r="C21" s="152" t="s">
        <v>197</v>
      </c>
      <c r="D21" s="16">
        <v>33070.22</v>
      </c>
      <c r="E21" s="105" t="s">
        <v>206</v>
      </c>
      <c r="F21" s="40"/>
      <c r="G21" s="41"/>
      <c r="H21" s="30"/>
      <c r="I21" s="15"/>
      <c r="J21" s="43"/>
      <c r="K21" s="44"/>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row>
    <row r="22" spans="1:114" s="46" customFormat="1" ht="49.5" customHeight="1">
      <c r="A22" s="277"/>
      <c r="B22" s="279"/>
      <c r="C22" s="116" t="s">
        <v>263</v>
      </c>
      <c r="D22" s="60">
        <f>9468.3+50998.33</f>
        <v>60466.630000000005</v>
      </c>
      <c r="E22" s="105" t="s">
        <v>87</v>
      </c>
      <c r="F22" s="40"/>
      <c r="G22" s="41"/>
      <c r="H22" s="30"/>
      <c r="I22" s="15"/>
      <c r="J22" s="43"/>
      <c r="K22" s="44"/>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row>
    <row r="23" spans="1:114" s="46" customFormat="1" ht="43.5" customHeight="1">
      <c r="A23" s="277"/>
      <c r="B23" s="279"/>
      <c r="C23" s="116" t="s">
        <v>266</v>
      </c>
      <c r="D23" s="60">
        <v>2160.6</v>
      </c>
      <c r="E23" s="105" t="s">
        <v>175</v>
      </c>
      <c r="F23" s="40"/>
      <c r="G23" s="41"/>
      <c r="H23" s="30"/>
      <c r="I23" s="15"/>
      <c r="J23" s="43"/>
      <c r="K23" s="44"/>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row>
    <row r="24" spans="1:114" s="46" customFormat="1" ht="31.5" customHeight="1">
      <c r="A24" s="277"/>
      <c r="B24" s="280"/>
      <c r="C24" s="116" t="s">
        <v>203</v>
      </c>
      <c r="D24" s="59">
        <v>18</v>
      </c>
      <c r="E24" s="105" t="s">
        <v>202</v>
      </c>
      <c r="F24" s="40"/>
      <c r="G24" s="41"/>
      <c r="H24" s="30"/>
      <c r="I24" s="15"/>
      <c r="J24" s="43"/>
      <c r="K24" s="44"/>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row>
    <row r="25" spans="1:114" s="46" customFormat="1" ht="20.25" customHeight="1">
      <c r="A25" s="277"/>
      <c r="B25" s="39">
        <f>SUM(B21)</f>
        <v>0</v>
      </c>
      <c r="C25" s="116"/>
      <c r="D25" s="77">
        <f>SUM(D21:D24)</f>
        <v>95715.45000000001</v>
      </c>
      <c r="E25" s="76"/>
      <c r="F25" s="48">
        <f>F21</f>
        <v>0</v>
      </c>
      <c r="G25" s="41"/>
      <c r="H25" s="31">
        <f>SUM(H21:H21)</f>
        <v>0</v>
      </c>
      <c r="I25" s="31"/>
      <c r="J25" s="43"/>
      <c r="K25" s="44"/>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row>
    <row r="26" spans="1:11" ht="28.5" customHeight="1">
      <c r="A26" s="254" t="s">
        <v>66</v>
      </c>
      <c r="B26" s="278">
        <v>1400</v>
      </c>
      <c r="C26" s="156" t="s">
        <v>208</v>
      </c>
      <c r="D26" s="60">
        <v>24.3</v>
      </c>
      <c r="E26" s="105" t="s">
        <v>87</v>
      </c>
      <c r="F26" s="37"/>
      <c r="G26" s="32"/>
      <c r="H26" s="30"/>
      <c r="I26" s="15"/>
      <c r="J26" s="36"/>
      <c r="K26" s="47"/>
    </row>
    <row r="27" spans="1:11" ht="29.25" customHeight="1">
      <c r="A27" s="255"/>
      <c r="B27" s="280"/>
      <c r="C27" s="175" t="s">
        <v>243</v>
      </c>
      <c r="D27" s="143"/>
      <c r="E27" s="122"/>
      <c r="F27" s="37"/>
      <c r="G27" s="32"/>
      <c r="H27" s="30"/>
      <c r="I27" s="30"/>
      <c r="J27" s="36"/>
      <c r="K27" s="47"/>
    </row>
    <row r="28" spans="1:114" s="46" customFormat="1" ht="25.5" customHeight="1">
      <c r="A28" s="153" t="s">
        <v>15</v>
      </c>
      <c r="B28" s="39">
        <f>B26</f>
        <v>1400</v>
      </c>
      <c r="C28" s="2"/>
      <c r="D28" s="79">
        <f>D27+D26</f>
        <v>24.3</v>
      </c>
      <c r="E28" s="80"/>
      <c r="F28" s="40"/>
      <c r="G28" s="41"/>
      <c r="H28" s="31">
        <f>SUM(H26:H27)</f>
        <v>0</v>
      </c>
      <c r="I28" s="31"/>
      <c r="J28" s="43"/>
      <c r="K28" s="4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row>
    <row r="29" spans="1:114" s="46" customFormat="1" ht="96.75" customHeight="1">
      <c r="A29" s="254" t="s">
        <v>67</v>
      </c>
      <c r="B29" s="278"/>
      <c r="C29" s="152" t="s">
        <v>204</v>
      </c>
      <c r="D29" s="59">
        <v>70702.76</v>
      </c>
      <c r="E29" s="105" t="s">
        <v>87</v>
      </c>
      <c r="F29" s="40"/>
      <c r="G29" s="41"/>
      <c r="H29" s="30"/>
      <c r="I29" s="15"/>
      <c r="J29" s="43"/>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row>
    <row r="30" spans="1:114" s="46" customFormat="1" ht="33" customHeight="1">
      <c r="A30" s="260"/>
      <c r="B30" s="279"/>
      <c r="C30" s="116" t="s">
        <v>203</v>
      </c>
      <c r="D30" s="59">
        <v>18</v>
      </c>
      <c r="E30" s="105" t="s">
        <v>202</v>
      </c>
      <c r="F30" s="40"/>
      <c r="G30" s="41"/>
      <c r="H30" s="30"/>
      <c r="I30" s="15"/>
      <c r="J30" s="43"/>
      <c r="K30" s="44"/>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row>
    <row r="31" spans="1:11" ht="38.25" customHeight="1">
      <c r="A31" s="255"/>
      <c r="B31" s="280"/>
      <c r="C31" s="149" t="s">
        <v>176</v>
      </c>
      <c r="D31" s="60">
        <f>1898+3740+432</f>
        <v>6070</v>
      </c>
      <c r="E31" s="105" t="s">
        <v>175</v>
      </c>
      <c r="F31" s="37"/>
      <c r="G31" s="32"/>
      <c r="H31" s="38"/>
      <c r="I31" s="32"/>
      <c r="J31" s="36"/>
      <c r="K31" s="47"/>
    </row>
    <row r="32" spans="1:114" s="46" customFormat="1" ht="19.5" customHeight="1">
      <c r="A32" s="153" t="s">
        <v>15</v>
      </c>
      <c r="B32" s="39">
        <f>B29</f>
        <v>0</v>
      </c>
      <c r="C32" s="152"/>
      <c r="D32" s="79">
        <f>SUM(D29:D31)</f>
        <v>76790.76</v>
      </c>
      <c r="E32" s="80"/>
      <c r="F32" s="40"/>
      <c r="G32" s="41"/>
      <c r="H32" s="42">
        <f>SUM(H29:H31)</f>
        <v>0</v>
      </c>
      <c r="I32" s="31"/>
      <c r="J32" s="43"/>
      <c r="K32" s="44"/>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row>
    <row r="33" spans="1:114" s="46" customFormat="1" ht="80.25" customHeight="1">
      <c r="A33" s="254" t="s">
        <v>68</v>
      </c>
      <c r="B33" s="278"/>
      <c r="C33" s="173" t="s">
        <v>204</v>
      </c>
      <c r="D33" s="59">
        <v>85389.43</v>
      </c>
      <c r="E33" s="105" t="s">
        <v>87</v>
      </c>
      <c r="F33" s="292"/>
      <c r="G33" s="293"/>
      <c r="H33" s="294"/>
      <c r="I33" s="294"/>
      <c r="J33" s="43"/>
      <c r="K33" s="4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row>
    <row r="34" spans="1:114" s="46" customFormat="1" ht="65.25" customHeight="1">
      <c r="A34" s="260"/>
      <c r="B34" s="279"/>
      <c r="C34" s="149" t="s">
        <v>267</v>
      </c>
      <c r="D34" s="60">
        <f>1952.75+5100+432+2160.6</f>
        <v>9645.35</v>
      </c>
      <c r="E34" s="105" t="s">
        <v>175</v>
      </c>
      <c r="F34" s="292"/>
      <c r="G34" s="293"/>
      <c r="H34" s="294"/>
      <c r="I34" s="294"/>
      <c r="J34" s="43"/>
      <c r="K34" s="4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row>
    <row r="35" spans="1:114" s="46" customFormat="1" ht="29.25" customHeight="1">
      <c r="A35" s="255"/>
      <c r="B35" s="280"/>
      <c r="C35" s="116" t="s">
        <v>203</v>
      </c>
      <c r="D35" s="59">
        <v>20</v>
      </c>
      <c r="E35" s="105" t="s">
        <v>202</v>
      </c>
      <c r="F35" s="6"/>
      <c r="G35" s="41"/>
      <c r="H35" s="33"/>
      <c r="I35" s="33"/>
      <c r="J35" s="43"/>
      <c r="K35" s="44"/>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row>
    <row r="36" spans="1:114" s="46" customFormat="1" ht="22.5" customHeight="1">
      <c r="A36" s="153" t="s">
        <v>15</v>
      </c>
      <c r="B36" s="39">
        <f>SUM(B33:B34)</f>
        <v>0</v>
      </c>
      <c r="C36" s="159"/>
      <c r="D36" s="79">
        <f>SUM(D33:D35)</f>
        <v>95054.78</v>
      </c>
      <c r="E36" s="80"/>
      <c r="F36" s="50"/>
      <c r="G36" s="41"/>
      <c r="H36" s="33">
        <f>SUM(H33:H35)</f>
        <v>0</v>
      </c>
      <c r="I36" s="33"/>
      <c r="J36" s="43"/>
      <c r="K36" s="44"/>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row>
    <row r="37" spans="1:11" ht="27.75" customHeight="1">
      <c r="A37" s="254" t="s">
        <v>69</v>
      </c>
      <c r="B37" s="278"/>
      <c r="C37" s="116" t="s">
        <v>203</v>
      </c>
      <c r="D37" s="59">
        <v>18</v>
      </c>
      <c r="E37" s="105" t="s">
        <v>202</v>
      </c>
      <c r="F37" s="6"/>
      <c r="G37" s="32"/>
      <c r="H37" s="14"/>
      <c r="I37" s="14"/>
      <c r="J37" s="36"/>
      <c r="K37" s="47"/>
    </row>
    <row r="38" spans="1:11" ht="27.75" customHeight="1">
      <c r="A38" s="255"/>
      <c r="B38" s="280"/>
      <c r="C38" s="116" t="s">
        <v>208</v>
      </c>
      <c r="D38" s="60">
        <v>24.3</v>
      </c>
      <c r="E38" s="105" t="s">
        <v>87</v>
      </c>
      <c r="F38" s="6"/>
      <c r="G38" s="32"/>
      <c r="H38" s="14"/>
      <c r="I38" s="14"/>
      <c r="J38" s="36"/>
      <c r="K38" s="47"/>
    </row>
    <row r="39" spans="1:114" s="46" customFormat="1" ht="24" customHeight="1">
      <c r="A39" s="160" t="s">
        <v>15</v>
      </c>
      <c r="B39" s="39">
        <f>SUM(B37)</f>
        <v>0</v>
      </c>
      <c r="C39" s="159"/>
      <c r="D39" s="23">
        <f>SUM(D37:D38)</f>
        <v>42.3</v>
      </c>
      <c r="E39" s="139"/>
      <c r="F39" s="10"/>
      <c r="G39" s="41"/>
      <c r="H39" s="33">
        <f>SUM(H37:H38)</f>
        <v>0</v>
      </c>
      <c r="I39" s="33"/>
      <c r="J39" s="43"/>
      <c r="K39" s="44"/>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row>
    <row r="40" spans="1:114" s="46" customFormat="1" ht="48.75" customHeight="1">
      <c r="A40" s="254" t="s">
        <v>70</v>
      </c>
      <c r="B40" s="278"/>
      <c r="C40" s="152" t="s">
        <v>209</v>
      </c>
      <c r="D40" s="60">
        <v>55744.63</v>
      </c>
      <c r="E40" s="105" t="s">
        <v>87</v>
      </c>
      <c r="F40" s="10"/>
      <c r="G40" s="41"/>
      <c r="H40" s="33"/>
      <c r="I40" s="33"/>
      <c r="J40" s="43"/>
      <c r="K40" s="44"/>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row>
    <row r="41" spans="1:10" ht="29.25" customHeight="1">
      <c r="A41" s="255"/>
      <c r="B41" s="280"/>
      <c r="C41" s="116" t="s">
        <v>203</v>
      </c>
      <c r="D41" s="59">
        <v>18</v>
      </c>
      <c r="E41" s="105" t="s">
        <v>202</v>
      </c>
      <c r="F41" s="51"/>
      <c r="G41" s="32"/>
      <c r="H41" s="14"/>
      <c r="I41" s="14"/>
      <c r="J41" s="36"/>
    </row>
    <row r="42" spans="1:114" s="46" customFormat="1" ht="27.75" customHeight="1">
      <c r="A42" s="153" t="s">
        <v>15</v>
      </c>
      <c r="B42" s="39">
        <f>SUM(B40:B41)</f>
        <v>0</v>
      </c>
      <c r="C42" s="2"/>
      <c r="D42" s="23">
        <f>SUM(D40:D41)</f>
        <v>55762.63</v>
      </c>
      <c r="E42" s="82"/>
      <c r="F42" s="50"/>
      <c r="G42" s="41"/>
      <c r="H42" s="33">
        <f>SUM(H41:H41)</f>
        <v>0</v>
      </c>
      <c r="I42" s="33"/>
      <c r="J42" s="43"/>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row>
    <row r="43" spans="1:10" ht="81" customHeight="1">
      <c r="A43" s="254" t="s">
        <v>71</v>
      </c>
      <c r="B43" s="278">
        <v>1118</v>
      </c>
      <c r="C43" s="173" t="s">
        <v>204</v>
      </c>
      <c r="D43" s="60">
        <f>80671.88</f>
        <v>80671.88</v>
      </c>
      <c r="E43" s="125" t="s">
        <v>87</v>
      </c>
      <c r="F43" s="51"/>
      <c r="G43" s="32"/>
      <c r="H43" s="14"/>
      <c r="I43" s="14"/>
      <c r="J43" s="36"/>
    </row>
    <row r="44" spans="1:10" ht="29.25" customHeight="1">
      <c r="A44" s="260"/>
      <c r="B44" s="279"/>
      <c r="C44" s="116" t="s">
        <v>203</v>
      </c>
      <c r="D44" s="59">
        <v>18</v>
      </c>
      <c r="E44" s="105" t="s">
        <v>202</v>
      </c>
      <c r="F44" s="51"/>
      <c r="G44" s="32"/>
      <c r="H44" s="14"/>
      <c r="I44" s="14"/>
      <c r="J44" s="36"/>
    </row>
    <row r="45" spans="1:10" ht="29.25" customHeight="1">
      <c r="A45" s="260"/>
      <c r="B45" s="279"/>
      <c r="C45" s="116" t="s">
        <v>29</v>
      </c>
      <c r="D45" s="59"/>
      <c r="E45" s="105"/>
      <c r="F45" s="51"/>
      <c r="G45" s="32"/>
      <c r="H45" s="14"/>
      <c r="I45" s="14"/>
      <c r="J45" s="36"/>
    </row>
    <row r="46" spans="1:10" ht="41.25" customHeight="1">
      <c r="A46" s="255"/>
      <c r="B46" s="280"/>
      <c r="C46" s="149" t="s">
        <v>176</v>
      </c>
      <c r="D46" s="60">
        <f>1952.75+5100+432</f>
        <v>7484.75</v>
      </c>
      <c r="E46" s="105" t="s">
        <v>175</v>
      </c>
      <c r="F46" s="51"/>
      <c r="G46" s="32"/>
      <c r="H46" s="14"/>
      <c r="I46" s="14"/>
      <c r="J46" s="36"/>
    </row>
    <row r="47" spans="1:114" s="46" customFormat="1" ht="27" customHeight="1">
      <c r="A47" s="153" t="s">
        <v>15</v>
      </c>
      <c r="B47" s="39">
        <f>SUM(B43:B44)</f>
        <v>1118</v>
      </c>
      <c r="C47" s="116"/>
      <c r="D47" s="23">
        <f>SUM(D43:D46)</f>
        <v>88174.63</v>
      </c>
      <c r="E47" s="82"/>
      <c r="F47" s="50"/>
      <c r="G47" s="41"/>
      <c r="H47" s="33">
        <f>H43</f>
        <v>0</v>
      </c>
      <c r="I47" s="33"/>
      <c r="J47" s="43"/>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row>
    <row r="48" spans="1:114" s="46" customFormat="1" ht="30" customHeight="1">
      <c r="A48" s="254" t="s">
        <v>7</v>
      </c>
      <c r="B48" s="278"/>
      <c r="C48" s="152" t="s">
        <v>210</v>
      </c>
      <c r="D48" s="60">
        <v>4746.3</v>
      </c>
      <c r="E48" s="105" t="s">
        <v>87</v>
      </c>
      <c r="F48" s="50"/>
      <c r="G48" s="41"/>
      <c r="H48" s="14"/>
      <c r="I48" s="14"/>
      <c r="J48" s="43"/>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row>
    <row r="49" spans="1:10" ht="18" customHeight="1">
      <c r="A49" s="255"/>
      <c r="B49" s="280"/>
      <c r="C49" s="152"/>
      <c r="D49" s="60"/>
      <c r="E49" s="105"/>
      <c r="F49" s="6"/>
      <c r="G49" s="32"/>
      <c r="H49" s="14"/>
      <c r="I49" s="14"/>
      <c r="J49" s="36"/>
    </row>
    <row r="50" spans="1:114" s="46" customFormat="1" ht="23.25" customHeight="1">
      <c r="A50" s="153" t="s">
        <v>15</v>
      </c>
      <c r="B50" s="39">
        <f>SUM(B48)</f>
        <v>0</v>
      </c>
      <c r="C50" s="152"/>
      <c r="D50" s="22">
        <f>D49+D48</f>
        <v>4746.3</v>
      </c>
      <c r="E50" s="60"/>
      <c r="F50" s="50"/>
      <c r="G50" s="41"/>
      <c r="H50" s="33">
        <f>SUM(H48:H49)</f>
        <v>0</v>
      </c>
      <c r="I50" s="33"/>
      <c r="J50" s="43"/>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row>
    <row r="51" spans="1:114" s="46" customFormat="1" ht="26.25" customHeight="1">
      <c r="A51" s="254" t="s">
        <v>16</v>
      </c>
      <c r="B51" s="278"/>
      <c r="C51" s="159" t="s">
        <v>208</v>
      </c>
      <c r="D51" s="60">
        <v>24.3</v>
      </c>
      <c r="E51" s="105" t="s">
        <v>87</v>
      </c>
      <c r="F51" s="50"/>
      <c r="G51" s="41"/>
      <c r="H51" s="14"/>
      <c r="I51" s="14"/>
      <c r="J51" s="43"/>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row>
    <row r="52" spans="1:10" ht="16.5" customHeight="1">
      <c r="A52" s="255"/>
      <c r="B52" s="280"/>
      <c r="C52" s="159"/>
      <c r="D52" s="78"/>
      <c r="E52" s="59"/>
      <c r="F52" s="6"/>
      <c r="G52" s="32"/>
      <c r="H52" s="14"/>
      <c r="I52" s="14"/>
      <c r="J52" s="36"/>
    </row>
    <row r="53" spans="1:114" s="46" customFormat="1" ht="27.75" customHeight="1">
      <c r="A53" s="153" t="s">
        <v>15</v>
      </c>
      <c r="B53" s="39">
        <f>SUM(B51:B51)</f>
        <v>0</v>
      </c>
      <c r="C53" s="161"/>
      <c r="D53" s="23">
        <f>D52+D51</f>
        <v>24.3</v>
      </c>
      <c r="E53" s="82"/>
      <c r="F53" s="50"/>
      <c r="G53" s="41"/>
      <c r="H53" s="33">
        <f>SUM(H51:H52)</f>
        <v>0</v>
      </c>
      <c r="I53" s="33"/>
      <c r="J53" s="43"/>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row>
    <row r="54" spans="1:114" s="46" customFormat="1" ht="153" customHeight="1">
      <c r="A54" s="254" t="s">
        <v>8</v>
      </c>
      <c r="B54" s="278">
        <f>20400+19370</f>
        <v>39770</v>
      </c>
      <c r="C54" s="162" t="s">
        <v>114</v>
      </c>
      <c r="D54" s="60"/>
      <c r="E54" s="59"/>
      <c r="F54" s="50"/>
      <c r="G54" s="41"/>
      <c r="H54" s="33"/>
      <c r="I54" s="33"/>
      <c r="J54" s="43"/>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row>
    <row r="55" spans="1:114" s="46" customFormat="1" ht="92.25" customHeight="1">
      <c r="A55" s="260"/>
      <c r="B55" s="279"/>
      <c r="C55" s="173" t="s">
        <v>255</v>
      </c>
      <c r="D55" s="59">
        <f>75682.87+6315.9</f>
        <v>81998.76999999999</v>
      </c>
      <c r="E55" s="105" t="s">
        <v>87</v>
      </c>
      <c r="F55" s="50"/>
      <c r="G55" s="41"/>
      <c r="H55" s="33"/>
      <c r="I55" s="33"/>
      <c r="J55" s="43"/>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row>
    <row r="56" spans="1:114" s="46" customFormat="1" ht="27" customHeight="1">
      <c r="A56" s="260"/>
      <c r="B56" s="279"/>
      <c r="C56" s="159" t="s">
        <v>208</v>
      </c>
      <c r="D56" s="60">
        <v>18</v>
      </c>
      <c r="E56" s="105" t="s">
        <v>87</v>
      </c>
      <c r="F56" s="50"/>
      <c r="G56" s="41"/>
      <c r="H56" s="33"/>
      <c r="I56" s="33"/>
      <c r="J56" s="43"/>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row>
    <row r="57" spans="1:114" s="46" customFormat="1" ht="34.5" customHeight="1">
      <c r="A57" s="260"/>
      <c r="B57" s="279"/>
      <c r="C57" s="161" t="s">
        <v>197</v>
      </c>
      <c r="D57" s="60">
        <v>33992.14</v>
      </c>
      <c r="E57" s="105" t="s">
        <v>257</v>
      </c>
      <c r="F57" s="50"/>
      <c r="G57" s="41"/>
      <c r="H57" s="33"/>
      <c r="I57" s="33"/>
      <c r="J57" s="43"/>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row>
    <row r="58" spans="1:10" ht="36.75" customHeight="1">
      <c r="A58" s="255"/>
      <c r="B58" s="280"/>
      <c r="C58" s="149" t="s">
        <v>176</v>
      </c>
      <c r="D58" s="60">
        <f>1825+4080+384</f>
        <v>6289</v>
      </c>
      <c r="E58" s="105" t="s">
        <v>175</v>
      </c>
      <c r="F58" s="5"/>
      <c r="G58" s="32"/>
      <c r="H58" s="14"/>
      <c r="I58" s="14"/>
      <c r="J58" s="36"/>
    </row>
    <row r="59" spans="1:114" s="46" customFormat="1" ht="31.5" customHeight="1">
      <c r="A59" s="153" t="s">
        <v>15</v>
      </c>
      <c r="B59" s="39">
        <f>SUM(B54)</f>
        <v>39770</v>
      </c>
      <c r="C59" s="152"/>
      <c r="D59" s="22">
        <f>SUM(D54:D58)</f>
        <v>122297.90999999999</v>
      </c>
      <c r="E59" s="82"/>
      <c r="F59" s="50"/>
      <c r="G59" s="41"/>
      <c r="H59" s="33">
        <f>SUM(H55:H58)</f>
        <v>0</v>
      </c>
      <c r="I59" s="33"/>
      <c r="J59" s="43"/>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row>
    <row r="60" spans="1:114" s="46" customFormat="1" ht="31.5" customHeight="1">
      <c r="A60" s="254" t="s">
        <v>9</v>
      </c>
      <c r="B60" s="278">
        <v>8000</v>
      </c>
      <c r="C60" s="154" t="s">
        <v>115</v>
      </c>
      <c r="D60" s="59"/>
      <c r="E60" s="74"/>
      <c r="F60" s="50"/>
      <c r="G60" s="41"/>
      <c r="H60" s="33"/>
      <c r="I60" s="33"/>
      <c r="J60" s="43"/>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row>
    <row r="61" spans="1:10" ht="32.25" customHeight="1">
      <c r="A61" s="255"/>
      <c r="B61" s="280"/>
      <c r="C61" s="152" t="s">
        <v>205</v>
      </c>
      <c r="D61" s="60">
        <v>9468.3</v>
      </c>
      <c r="E61" s="105" t="s">
        <v>87</v>
      </c>
      <c r="F61" s="5"/>
      <c r="G61" s="32"/>
      <c r="H61" s="12"/>
      <c r="I61" s="14"/>
      <c r="J61" s="36"/>
    </row>
    <row r="62" spans="1:114" s="46" customFormat="1" ht="19.5" customHeight="1">
      <c r="A62" s="153" t="s">
        <v>15</v>
      </c>
      <c r="B62" s="39">
        <f>B60</f>
        <v>8000</v>
      </c>
      <c r="C62" s="159"/>
      <c r="D62" s="22">
        <f>D61+D60</f>
        <v>9468.3</v>
      </c>
      <c r="E62" s="82"/>
      <c r="F62" s="50">
        <f>F61</f>
        <v>0</v>
      </c>
      <c r="G62" s="41"/>
      <c r="H62" s="33">
        <f>SUM(H60:H61)</f>
        <v>0</v>
      </c>
      <c r="I62" s="33"/>
      <c r="J62" s="43"/>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row>
    <row r="63" spans="1:114" s="46" customFormat="1" ht="32.25" customHeight="1">
      <c r="A63" s="254" t="s">
        <v>10</v>
      </c>
      <c r="B63" s="278"/>
      <c r="C63" s="152" t="s">
        <v>205</v>
      </c>
      <c r="D63" s="60">
        <v>4746.3</v>
      </c>
      <c r="E63" s="105" t="s">
        <v>87</v>
      </c>
      <c r="F63" s="50"/>
      <c r="G63" s="41"/>
      <c r="H63" s="33"/>
      <c r="I63" s="33"/>
      <c r="J63" s="43"/>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row>
    <row r="64" spans="1:10" ht="48" customHeight="1">
      <c r="A64" s="255"/>
      <c r="B64" s="280"/>
      <c r="C64" s="116" t="s">
        <v>266</v>
      </c>
      <c r="D64" s="16">
        <v>2160.6</v>
      </c>
      <c r="E64" s="122" t="s">
        <v>175</v>
      </c>
      <c r="F64" s="5"/>
      <c r="G64" s="32"/>
      <c r="H64" s="14"/>
      <c r="I64" s="14"/>
      <c r="J64" s="36"/>
    </row>
    <row r="65" spans="1:114" s="46" customFormat="1" ht="21.75" customHeight="1">
      <c r="A65" s="153" t="s">
        <v>15</v>
      </c>
      <c r="B65" s="39">
        <f>SUM(B63:B63)</f>
        <v>0</v>
      </c>
      <c r="C65" s="152"/>
      <c r="D65" s="22">
        <f>D64+D63</f>
        <v>6906.9</v>
      </c>
      <c r="E65" s="60"/>
      <c r="F65" s="50"/>
      <c r="G65" s="41"/>
      <c r="H65" s="33">
        <f>SUM(H63:H64)</f>
        <v>0</v>
      </c>
      <c r="I65" s="33"/>
      <c r="J65" s="43"/>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row>
    <row r="66" spans="1:114" s="46" customFormat="1" ht="24" customHeight="1">
      <c r="A66" s="254" t="s">
        <v>11</v>
      </c>
      <c r="B66" s="278"/>
      <c r="C66" s="152" t="s">
        <v>211</v>
      </c>
      <c r="D66" s="60">
        <v>24.3</v>
      </c>
      <c r="E66" s="105" t="s">
        <v>87</v>
      </c>
      <c r="F66" s="5"/>
      <c r="G66" s="32"/>
      <c r="H66" s="14"/>
      <c r="I66" s="14"/>
      <c r="J66" s="43"/>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row>
    <row r="67" spans="1:10" ht="23.25" customHeight="1">
      <c r="A67" s="255"/>
      <c r="B67" s="280"/>
      <c r="C67" s="116"/>
      <c r="D67" s="16"/>
      <c r="E67" s="59"/>
      <c r="F67" s="5"/>
      <c r="G67" s="32"/>
      <c r="H67" s="14"/>
      <c r="I67" s="14"/>
      <c r="J67" s="36"/>
    </row>
    <row r="68" spans="1:114" s="46" customFormat="1" ht="23.25" customHeight="1">
      <c r="A68" s="153" t="s">
        <v>15</v>
      </c>
      <c r="B68" s="52">
        <f>SUM(B66:B66)</f>
        <v>0</v>
      </c>
      <c r="C68" s="116"/>
      <c r="D68" s="22">
        <f>D67+D66</f>
        <v>24.3</v>
      </c>
      <c r="E68" s="60"/>
      <c r="F68" s="50">
        <f>F67+F66</f>
        <v>0</v>
      </c>
      <c r="G68" s="41"/>
      <c r="H68" s="33">
        <f>SUM(H66:H67)</f>
        <v>0</v>
      </c>
      <c r="I68" s="33"/>
      <c r="J68" s="43"/>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row>
    <row r="69" spans="1:114" s="46" customFormat="1" ht="28.5" customHeight="1">
      <c r="A69" s="254" t="s">
        <v>12</v>
      </c>
      <c r="B69" s="278"/>
      <c r="C69" s="152" t="s">
        <v>211</v>
      </c>
      <c r="D69" s="60">
        <v>24.3</v>
      </c>
      <c r="E69" s="105" t="s">
        <v>87</v>
      </c>
      <c r="F69" s="50"/>
      <c r="G69" s="41"/>
      <c r="H69" s="33"/>
      <c r="I69" s="33"/>
      <c r="J69" s="43"/>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row>
    <row r="70" spans="1:10" ht="18" customHeight="1">
      <c r="A70" s="255"/>
      <c r="B70" s="280"/>
      <c r="C70" s="152"/>
      <c r="D70" s="60"/>
      <c r="E70" s="105"/>
      <c r="F70" s="5"/>
      <c r="G70" s="32"/>
      <c r="H70" s="14"/>
      <c r="I70" s="14"/>
      <c r="J70" s="36"/>
    </row>
    <row r="71" spans="1:114" s="46" customFormat="1" ht="24.75" customHeight="1">
      <c r="A71" s="153" t="s">
        <v>15</v>
      </c>
      <c r="B71" s="39">
        <f>SUM(B69:B69)</f>
        <v>0</v>
      </c>
      <c r="C71" s="116"/>
      <c r="D71" s="22">
        <f>D70+D69</f>
        <v>24.3</v>
      </c>
      <c r="E71" s="82"/>
      <c r="F71" s="50"/>
      <c r="G71" s="41"/>
      <c r="H71" s="33">
        <f>SUM(H69:H70)</f>
        <v>0</v>
      </c>
      <c r="I71" s="33"/>
      <c r="J71" s="43"/>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row>
    <row r="72" spans="1:114" s="46" customFormat="1" ht="83.25" customHeight="1">
      <c r="A72" s="254" t="s">
        <v>13</v>
      </c>
      <c r="B72" s="278"/>
      <c r="C72" s="152" t="s">
        <v>201</v>
      </c>
      <c r="D72" s="59">
        <v>65980.76</v>
      </c>
      <c r="E72" s="105" t="s">
        <v>87</v>
      </c>
      <c r="F72" s="50"/>
      <c r="G72" s="41"/>
      <c r="H72" s="14"/>
      <c r="I72" s="14"/>
      <c r="J72" s="43"/>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row>
    <row r="73" spans="1:114" s="46" customFormat="1" ht="33.75" customHeight="1">
      <c r="A73" s="260"/>
      <c r="B73" s="279"/>
      <c r="C73" s="116" t="s">
        <v>203</v>
      </c>
      <c r="D73" s="59">
        <v>18</v>
      </c>
      <c r="E73" s="105" t="s">
        <v>202</v>
      </c>
      <c r="F73" s="50"/>
      <c r="G73" s="41"/>
      <c r="H73" s="14"/>
      <c r="I73" s="14"/>
      <c r="J73" s="43"/>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row>
    <row r="74" spans="1:10" ht="37.5" customHeight="1">
      <c r="A74" s="255"/>
      <c r="B74" s="280"/>
      <c r="C74" s="149" t="s">
        <v>176</v>
      </c>
      <c r="D74" s="60">
        <f>1733.75+4080+432</f>
        <v>6245.75</v>
      </c>
      <c r="E74" s="105" t="s">
        <v>175</v>
      </c>
      <c r="F74" s="5"/>
      <c r="G74" s="32"/>
      <c r="H74" s="14"/>
      <c r="I74" s="14"/>
      <c r="J74" s="36"/>
    </row>
    <row r="75" spans="1:10" ht="21.75" customHeight="1">
      <c r="A75" s="153" t="s">
        <v>15</v>
      </c>
      <c r="B75" s="39">
        <f>SUM(B72:B72)</f>
        <v>0</v>
      </c>
      <c r="C75" s="116"/>
      <c r="D75" s="22">
        <f>SUM(D72:D74)</f>
        <v>72244.51</v>
      </c>
      <c r="E75" s="82"/>
      <c r="F75" s="50">
        <f>F74</f>
        <v>0</v>
      </c>
      <c r="G75" s="32"/>
      <c r="H75" s="33">
        <f>SUM(H72:H74)</f>
        <v>0</v>
      </c>
      <c r="I75" s="14"/>
      <c r="J75" s="36"/>
    </row>
    <row r="76" spans="1:10" s="56" customFormat="1" ht="27" customHeight="1">
      <c r="A76" s="258" t="s">
        <v>83</v>
      </c>
      <c r="B76" s="278">
        <f>2866+8420</f>
        <v>11286</v>
      </c>
      <c r="C76" s="116" t="s">
        <v>203</v>
      </c>
      <c r="D76" s="59">
        <v>18</v>
      </c>
      <c r="E76" s="105" t="s">
        <v>202</v>
      </c>
      <c r="F76" s="54"/>
      <c r="G76" s="4"/>
      <c r="H76" s="10"/>
      <c r="I76" s="11"/>
      <c r="J76" s="55"/>
    </row>
    <row r="77" spans="1:10" s="56" customFormat="1" ht="118.5" customHeight="1">
      <c r="A77" s="263"/>
      <c r="B77" s="279"/>
      <c r="C77" s="158" t="s">
        <v>259</v>
      </c>
      <c r="D77" s="59"/>
      <c r="E77" s="105"/>
      <c r="F77" s="54"/>
      <c r="G77" s="4"/>
      <c r="H77" s="10"/>
      <c r="I77" s="11"/>
      <c r="J77" s="55"/>
    </row>
    <row r="78" spans="1:10" ht="34.5" customHeight="1">
      <c r="A78" s="259"/>
      <c r="B78" s="280"/>
      <c r="C78" s="152" t="s">
        <v>258</v>
      </c>
      <c r="D78" s="60">
        <f>4746.3+11751.2</f>
        <v>16497.5</v>
      </c>
      <c r="E78" s="105" t="s">
        <v>87</v>
      </c>
      <c r="F78" s="5"/>
      <c r="G78" s="32"/>
      <c r="H78" s="14"/>
      <c r="I78" s="14"/>
      <c r="J78" s="43"/>
    </row>
    <row r="79" spans="1:114" s="46" customFormat="1" ht="18" customHeight="1">
      <c r="A79" s="153" t="s">
        <v>15</v>
      </c>
      <c r="B79" s="39">
        <f>SUM(B76:B76)</f>
        <v>11286</v>
      </c>
      <c r="C79" s="116"/>
      <c r="D79" s="22">
        <f>SUM(D76:D78)</f>
        <v>16515.5</v>
      </c>
      <c r="E79" s="23"/>
      <c r="F79" s="50">
        <f>F78</f>
        <v>0</v>
      </c>
      <c r="G79" s="41"/>
      <c r="H79" s="9">
        <f>SUM(H76:H78)</f>
        <v>0</v>
      </c>
      <c r="I79" s="33"/>
      <c r="J79" s="43"/>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row>
    <row r="80" spans="1:114" s="46" customFormat="1" ht="33" customHeight="1">
      <c r="A80" s="258" t="s">
        <v>82</v>
      </c>
      <c r="B80" s="278"/>
      <c r="C80" s="152" t="s">
        <v>265</v>
      </c>
      <c r="D80" s="60">
        <f>4746.3+79120</f>
        <v>83866.3</v>
      </c>
      <c r="E80" s="105" t="s">
        <v>87</v>
      </c>
      <c r="F80" s="50"/>
      <c r="G80" s="41"/>
      <c r="H80" s="14"/>
      <c r="I80" s="14"/>
      <c r="J80" s="43"/>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row>
    <row r="81" spans="1:10" ht="19.5" customHeight="1">
      <c r="A81" s="259"/>
      <c r="B81" s="280"/>
      <c r="C81" s="116"/>
      <c r="D81" s="59"/>
      <c r="E81" s="59"/>
      <c r="F81" s="5"/>
      <c r="G81" s="32"/>
      <c r="H81" s="33"/>
      <c r="I81" s="33"/>
      <c r="J81" s="43"/>
    </row>
    <row r="82" spans="1:114" s="46" customFormat="1" ht="30.75" customHeight="1">
      <c r="A82" s="153" t="s">
        <v>15</v>
      </c>
      <c r="B82" s="39">
        <f>SUM(B80:B80)</f>
        <v>0</v>
      </c>
      <c r="C82" s="116"/>
      <c r="D82" s="22">
        <f>SUM(D80:D81)</f>
        <v>83866.3</v>
      </c>
      <c r="E82" s="23"/>
      <c r="F82" s="50">
        <f>F81</f>
        <v>0</v>
      </c>
      <c r="G82" s="41"/>
      <c r="H82" s="33">
        <f>SUM(H80:H81)</f>
        <v>0</v>
      </c>
      <c r="I82" s="33"/>
      <c r="J82" s="43"/>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row>
    <row r="83" spans="1:114" s="46" customFormat="1" ht="30.75" customHeight="1">
      <c r="A83" s="163" t="s">
        <v>44</v>
      </c>
      <c r="B83" s="22">
        <f>B82+B79+B75+B71+B68+B65+B62+B59+B53+B50+B47+B42+B39+B36+B32+B28+B25+B20+B15</f>
        <v>72498</v>
      </c>
      <c r="C83" s="3"/>
      <c r="D83" s="22">
        <f>D82+D79+D75+D71+D68+D65+D62+D59+D53+D50+D47+D42+D39+D36+D32+D28+D25+D20+D15</f>
        <v>871963.96</v>
      </c>
      <c r="E83" s="23"/>
      <c r="F83" s="22">
        <f>F82+F79+F75+F71+F68+F65+F62+F59+F53+F50+F47+F42+F39+F36+F32+F28+F25+F20+F15</f>
        <v>0</v>
      </c>
      <c r="G83" s="4"/>
      <c r="H83" s="22">
        <f>H82+H79+H75+H71+H68+H65+H62+H59+H53+H50+H47+H42+H39+H36+H32+H28+H25+H20+H15</f>
        <v>0</v>
      </c>
      <c r="I83" s="120"/>
      <c r="J83" s="43"/>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row>
    <row r="84" spans="1:114" s="46" customFormat="1" ht="194.25" customHeight="1">
      <c r="A84" s="254" t="s">
        <v>72</v>
      </c>
      <c r="B84" s="278">
        <v>115</v>
      </c>
      <c r="C84" s="156" t="s">
        <v>245</v>
      </c>
      <c r="D84" s="122">
        <f>448611.18+10526.5</f>
        <v>459137.68</v>
      </c>
      <c r="E84" s="105" t="s">
        <v>87</v>
      </c>
      <c r="F84" s="118"/>
      <c r="G84" s="119"/>
      <c r="H84" s="33"/>
      <c r="I84" s="120"/>
      <c r="J84" s="43"/>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row>
    <row r="85" spans="1:114" s="46" customFormat="1" ht="124.5" customHeight="1">
      <c r="A85" s="260"/>
      <c r="B85" s="279"/>
      <c r="C85" s="156" t="s">
        <v>90</v>
      </c>
      <c r="D85" s="122">
        <v>151722</v>
      </c>
      <c r="E85" s="105" t="s">
        <v>80</v>
      </c>
      <c r="F85" s="118"/>
      <c r="G85" s="119"/>
      <c r="H85" s="33"/>
      <c r="I85" s="120"/>
      <c r="J85" s="43"/>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row>
    <row r="86" spans="1:114" s="46" customFormat="1" ht="28.5" customHeight="1">
      <c r="A86" s="260"/>
      <c r="B86" s="279"/>
      <c r="C86" s="162" t="s">
        <v>81</v>
      </c>
      <c r="D86" s="144">
        <f>673.92</f>
        <v>673.92</v>
      </c>
      <c r="E86" s="105" t="s">
        <v>91</v>
      </c>
      <c r="F86" s="118"/>
      <c r="G86" s="119"/>
      <c r="H86" s="33"/>
      <c r="I86" s="120"/>
      <c r="J86" s="43"/>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row>
    <row r="87" spans="1:114" s="46" customFormat="1" ht="36.75" customHeight="1">
      <c r="A87" s="260"/>
      <c r="B87" s="279"/>
      <c r="C87" s="128" t="s">
        <v>81</v>
      </c>
      <c r="D87" s="109">
        <v>1280.45</v>
      </c>
      <c r="E87" s="59" t="s">
        <v>92</v>
      </c>
      <c r="F87" s="118"/>
      <c r="G87" s="119"/>
      <c r="H87" s="33"/>
      <c r="I87" s="120"/>
      <c r="J87" s="43"/>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row>
    <row r="88" spans="1:114" s="46" customFormat="1" ht="45.75" customHeight="1">
      <c r="A88" s="260"/>
      <c r="B88" s="279"/>
      <c r="C88" s="146" t="s">
        <v>150</v>
      </c>
      <c r="D88" s="109">
        <f>240+10525+10943</f>
        <v>21708</v>
      </c>
      <c r="E88" s="106" t="s">
        <v>131</v>
      </c>
      <c r="F88" s="5"/>
      <c r="G88" s="14"/>
      <c r="H88" s="12"/>
      <c r="I88" s="15"/>
      <c r="J88" s="43"/>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row>
    <row r="89" spans="1:114" s="46" customFormat="1" ht="173.25" customHeight="1">
      <c r="A89" s="260"/>
      <c r="B89" s="279"/>
      <c r="C89" s="146" t="s">
        <v>133</v>
      </c>
      <c r="D89" s="109">
        <f>57558.22+112102.29+36683.7</f>
        <v>206344.21000000002</v>
      </c>
      <c r="E89" s="106" t="s">
        <v>132</v>
      </c>
      <c r="F89" s="5"/>
      <c r="G89" s="14"/>
      <c r="H89" s="12"/>
      <c r="I89" s="15"/>
      <c r="J89" s="43"/>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row>
    <row r="90" spans="1:114" s="46" customFormat="1" ht="18.75" customHeight="1">
      <c r="A90" s="260"/>
      <c r="B90" s="279"/>
      <c r="C90" s="146" t="s">
        <v>246</v>
      </c>
      <c r="D90" s="109"/>
      <c r="E90" s="106"/>
      <c r="F90" s="5"/>
      <c r="G90" s="14"/>
      <c r="H90" s="12"/>
      <c r="I90" s="15"/>
      <c r="J90" s="43"/>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row>
    <row r="91" spans="1:114" s="46" customFormat="1" ht="18.75" customHeight="1">
      <c r="A91" s="260"/>
      <c r="B91" s="279"/>
      <c r="C91" s="21" t="s">
        <v>85</v>
      </c>
      <c r="D91" s="60">
        <v>9192.75</v>
      </c>
      <c r="E91" s="125" t="s">
        <v>86</v>
      </c>
      <c r="F91" s="5"/>
      <c r="G91" s="14"/>
      <c r="H91" s="12"/>
      <c r="I91" s="15"/>
      <c r="J91" s="43"/>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row>
    <row r="92" spans="1:114" s="46" customFormat="1" ht="27.75" customHeight="1">
      <c r="A92" s="260"/>
      <c r="B92" s="279"/>
      <c r="C92" s="146" t="s">
        <v>254</v>
      </c>
      <c r="D92" s="109">
        <f>4880+5083.23</f>
        <v>9963.23</v>
      </c>
      <c r="E92" s="106" t="s">
        <v>198</v>
      </c>
      <c r="F92" s="5"/>
      <c r="G92" s="14"/>
      <c r="H92" s="12"/>
      <c r="I92" s="15"/>
      <c r="J92" s="43"/>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row>
    <row r="93" spans="1:114" s="46" customFormat="1" ht="38.25" customHeight="1">
      <c r="A93" s="255"/>
      <c r="B93" s="280"/>
      <c r="C93" s="146" t="s">
        <v>149</v>
      </c>
      <c r="D93" s="122">
        <f>234344+134230.34</f>
        <v>368574.33999999997</v>
      </c>
      <c r="E93" s="106" t="s">
        <v>148</v>
      </c>
      <c r="F93" s="5"/>
      <c r="G93" s="14"/>
      <c r="H93" s="12"/>
      <c r="I93" s="15"/>
      <c r="J93" s="43"/>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row>
    <row r="94" spans="1:114" s="46" customFormat="1" ht="27.75" customHeight="1">
      <c r="A94" s="153" t="s">
        <v>15</v>
      </c>
      <c r="B94" s="39">
        <f>B84</f>
        <v>115</v>
      </c>
      <c r="C94" s="2"/>
      <c r="D94" s="22">
        <f>SUM(D84:D93)</f>
        <v>1228596.58</v>
      </c>
      <c r="E94" s="23"/>
      <c r="F94" s="50">
        <f>F93</f>
        <v>0</v>
      </c>
      <c r="G94" s="41"/>
      <c r="H94" s="9">
        <f>SUM(H88:H93)</f>
        <v>0</v>
      </c>
      <c r="I94" s="33"/>
      <c r="J94" s="43"/>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row>
    <row r="95" spans="1:114" s="46" customFormat="1" ht="48.75" customHeight="1">
      <c r="A95" s="254" t="s">
        <v>28</v>
      </c>
      <c r="B95" s="278"/>
      <c r="C95" s="21" t="s">
        <v>152</v>
      </c>
      <c r="D95" s="16">
        <v>450053.76</v>
      </c>
      <c r="E95" s="16" t="s">
        <v>151</v>
      </c>
      <c r="F95" s="288"/>
      <c r="G95" s="268"/>
      <c r="H95" s="9"/>
      <c r="I95" s="33"/>
      <c r="J95" s="43"/>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row>
    <row r="96" spans="1:114" s="46" customFormat="1" ht="25.5" customHeight="1">
      <c r="A96" s="260"/>
      <c r="B96" s="279"/>
      <c r="C96" s="21" t="s">
        <v>85</v>
      </c>
      <c r="D96" s="60">
        <v>36771</v>
      </c>
      <c r="E96" s="125" t="s">
        <v>86</v>
      </c>
      <c r="F96" s="289"/>
      <c r="G96" s="271"/>
      <c r="H96" s="9"/>
      <c r="I96" s="33"/>
      <c r="J96" s="43"/>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row>
    <row r="97" spans="1:114" s="46" customFormat="1" ht="31.5" customHeight="1">
      <c r="A97" s="260"/>
      <c r="B97" s="279"/>
      <c r="C97" s="176" t="s">
        <v>254</v>
      </c>
      <c r="D97" s="60">
        <f>6100+5083.23</f>
        <v>11183.23</v>
      </c>
      <c r="E97" s="102" t="s">
        <v>198</v>
      </c>
      <c r="F97" s="289"/>
      <c r="G97" s="271"/>
      <c r="H97" s="9"/>
      <c r="I97" s="33"/>
      <c r="J97" s="43"/>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row>
    <row r="98" spans="1:114" s="46" customFormat="1" ht="45.75" customHeight="1">
      <c r="A98" s="260"/>
      <c r="B98" s="279"/>
      <c r="C98" s="150" t="s">
        <v>213</v>
      </c>
      <c r="D98" s="59">
        <v>223908.3</v>
      </c>
      <c r="E98" s="105" t="s">
        <v>87</v>
      </c>
      <c r="F98" s="289"/>
      <c r="G98" s="271"/>
      <c r="H98" s="14"/>
      <c r="I98" s="14"/>
      <c r="J98" s="43"/>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row>
    <row r="99" spans="1:9" ht="2.25" customHeight="1" hidden="1">
      <c r="A99" s="255"/>
      <c r="B99" s="280"/>
      <c r="C99" s="114"/>
      <c r="D99" s="59"/>
      <c r="E99" s="83"/>
      <c r="F99" s="290"/>
      <c r="G99" s="269"/>
      <c r="H99" s="57"/>
      <c r="I99" s="14"/>
    </row>
    <row r="100" spans="1:114" s="46" customFormat="1" ht="19.5" customHeight="1">
      <c r="A100" s="153" t="s">
        <v>15</v>
      </c>
      <c r="B100" s="39">
        <f>SUM(B95:B95)</f>
        <v>0</v>
      </c>
      <c r="C100" s="2"/>
      <c r="D100" s="101">
        <f>SUM(D95:D99)</f>
        <v>721916.29</v>
      </c>
      <c r="E100" s="84"/>
      <c r="F100" s="50">
        <f>F95</f>
        <v>0</v>
      </c>
      <c r="G100" s="41"/>
      <c r="H100" s="8">
        <f>SUM(H98:H99)</f>
        <v>0</v>
      </c>
      <c r="I100" s="33"/>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row>
    <row r="101" spans="1:114" s="46" customFormat="1" ht="80.25" customHeight="1">
      <c r="A101" s="254" t="s">
        <v>55</v>
      </c>
      <c r="B101" s="278"/>
      <c r="C101" s="156" t="s">
        <v>247</v>
      </c>
      <c r="D101" s="59">
        <f>277643.43+38761.2</f>
        <v>316404.63</v>
      </c>
      <c r="E101" s="105" t="s">
        <v>87</v>
      </c>
      <c r="F101" s="288"/>
      <c r="G101" s="268"/>
      <c r="H101" s="8"/>
      <c r="I101" s="33"/>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row>
    <row r="102" spans="1:114" s="46" customFormat="1" ht="26.25" customHeight="1">
      <c r="A102" s="260"/>
      <c r="B102" s="279"/>
      <c r="C102" s="21" t="s">
        <v>85</v>
      </c>
      <c r="D102" s="60">
        <v>27578.25</v>
      </c>
      <c r="E102" s="125" t="s">
        <v>86</v>
      </c>
      <c r="F102" s="289"/>
      <c r="G102" s="271"/>
      <c r="H102" s="8"/>
      <c r="I102" s="33"/>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row>
    <row r="103" spans="1:114" s="46" customFormat="1" ht="33.75" customHeight="1">
      <c r="A103" s="255"/>
      <c r="B103" s="280"/>
      <c r="C103" s="114" t="s">
        <v>254</v>
      </c>
      <c r="D103" s="59">
        <f>2440+5083.23</f>
        <v>7523.23</v>
      </c>
      <c r="E103" s="102" t="s">
        <v>198</v>
      </c>
      <c r="F103" s="290"/>
      <c r="G103" s="269"/>
      <c r="H103" s="58"/>
      <c r="I103" s="58"/>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row>
    <row r="104" spans="1:114" s="46" customFormat="1" ht="26.25" customHeight="1">
      <c r="A104" s="153" t="s">
        <v>15</v>
      </c>
      <c r="B104" s="39">
        <f>SUM(B101:B103)</f>
        <v>0</v>
      </c>
      <c r="C104" s="3"/>
      <c r="D104" s="23">
        <f>SUM(D101:D103)</f>
        <v>351506.11</v>
      </c>
      <c r="E104" s="23"/>
      <c r="F104" s="10">
        <f>F101</f>
        <v>0</v>
      </c>
      <c r="G104" s="41"/>
      <c r="H104" s="8">
        <f>SUM(H101:H103)</f>
        <v>0</v>
      </c>
      <c r="I104" s="33"/>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row>
    <row r="105" spans="1:114" s="46" customFormat="1" ht="120" customHeight="1">
      <c r="A105" s="254" t="s">
        <v>54</v>
      </c>
      <c r="B105" s="284"/>
      <c r="C105" s="128" t="s">
        <v>248</v>
      </c>
      <c r="D105" s="60">
        <f>235420.3+12631.8</f>
        <v>248052.09999999998</v>
      </c>
      <c r="E105" s="105" t="s">
        <v>87</v>
      </c>
      <c r="F105" s="266"/>
      <c r="G105" s="268"/>
      <c r="H105" s="57"/>
      <c r="I105" s="14"/>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row>
    <row r="106" spans="1:114" s="46" customFormat="1" ht="23.25" customHeight="1">
      <c r="A106" s="260"/>
      <c r="B106" s="285"/>
      <c r="C106" s="136" t="s">
        <v>134</v>
      </c>
      <c r="D106" s="109">
        <v>4320</v>
      </c>
      <c r="E106" s="117" t="s">
        <v>136</v>
      </c>
      <c r="F106" s="270"/>
      <c r="G106" s="271"/>
      <c r="H106" s="57"/>
      <c r="I106" s="14"/>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row>
    <row r="107" spans="1:114" s="46" customFormat="1" ht="33" customHeight="1">
      <c r="A107" s="260"/>
      <c r="B107" s="285"/>
      <c r="C107" s="136" t="s">
        <v>254</v>
      </c>
      <c r="D107" s="109">
        <f>4270+5083.23</f>
        <v>9353.23</v>
      </c>
      <c r="E107" s="102" t="s">
        <v>198</v>
      </c>
      <c r="F107" s="270"/>
      <c r="G107" s="271"/>
      <c r="H107" s="57"/>
      <c r="I107" s="14"/>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row>
    <row r="108" spans="1:114" s="46" customFormat="1" ht="22.5" customHeight="1">
      <c r="A108" s="260"/>
      <c r="B108" s="285"/>
      <c r="C108" s="21" t="s">
        <v>85</v>
      </c>
      <c r="D108" s="60">
        <v>9192.75</v>
      </c>
      <c r="E108" s="125" t="s">
        <v>86</v>
      </c>
      <c r="F108" s="270"/>
      <c r="G108" s="271"/>
      <c r="H108" s="57"/>
      <c r="I108" s="14"/>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row>
    <row r="109" spans="1:114" s="46" customFormat="1" ht="42" customHeight="1">
      <c r="A109" s="255"/>
      <c r="B109" s="286"/>
      <c r="C109" s="128" t="s">
        <v>121</v>
      </c>
      <c r="D109" s="109">
        <f>6770+5607</f>
        <v>12377</v>
      </c>
      <c r="E109" s="59" t="s">
        <v>108</v>
      </c>
      <c r="F109" s="267"/>
      <c r="G109" s="269"/>
      <c r="H109" s="8"/>
      <c r="I109" s="33"/>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row>
    <row r="110" spans="1:114" s="46" customFormat="1" ht="24" customHeight="1">
      <c r="A110" s="153" t="s">
        <v>15</v>
      </c>
      <c r="B110" s="39">
        <f>SUM(B105:B109)</f>
        <v>0</v>
      </c>
      <c r="C110" s="3"/>
      <c r="D110" s="22">
        <f>SUM(D105:D109)</f>
        <v>283295.07999999996</v>
      </c>
      <c r="E110" s="23"/>
      <c r="F110" s="10">
        <f>F105</f>
        <v>0</v>
      </c>
      <c r="G110" s="41"/>
      <c r="H110" s="8">
        <f>SUM(H105:H109)</f>
        <v>0</v>
      </c>
      <c r="I110" s="33"/>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row>
    <row r="111" spans="1:114" s="46" customFormat="1" ht="28.5" customHeight="1">
      <c r="A111" s="254" t="s">
        <v>73</v>
      </c>
      <c r="B111" s="278"/>
      <c r="C111" s="162" t="s">
        <v>81</v>
      </c>
      <c r="D111" s="144">
        <v>1979.64</v>
      </c>
      <c r="E111" s="105" t="s">
        <v>91</v>
      </c>
      <c r="F111" s="123"/>
      <c r="G111" s="119"/>
      <c r="H111" s="8"/>
      <c r="I111" s="33"/>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row>
    <row r="112" spans="1:114" s="46" customFormat="1" ht="26.25" customHeight="1">
      <c r="A112" s="260"/>
      <c r="B112" s="279"/>
      <c r="C112" s="128" t="s">
        <v>81</v>
      </c>
      <c r="D112" s="109">
        <v>1280.45</v>
      </c>
      <c r="E112" s="59" t="s">
        <v>92</v>
      </c>
      <c r="F112" s="123"/>
      <c r="G112" s="119"/>
      <c r="H112" s="8"/>
      <c r="I112" s="33"/>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row>
    <row r="113" spans="1:114" s="46" customFormat="1" ht="120" customHeight="1">
      <c r="A113" s="260"/>
      <c r="B113" s="279"/>
      <c r="C113" s="128" t="s">
        <v>219</v>
      </c>
      <c r="D113" s="109">
        <v>384775.88</v>
      </c>
      <c r="E113" s="105" t="s">
        <v>87</v>
      </c>
      <c r="F113" s="123"/>
      <c r="G113" s="119"/>
      <c r="H113" s="8"/>
      <c r="I113" s="33"/>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row>
    <row r="114" spans="1:114" s="46" customFormat="1" ht="39.75" customHeight="1">
      <c r="A114" s="260"/>
      <c r="B114" s="279"/>
      <c r="C114" s="128" t="s">
        <v>235</v>
      </c>
      <c r="D114" s="109">
        <v>51857.53</v>
      </c>
      <c r="E114" s="105" t="s">
        <v>236</v>
      </c>
      <c r="F114" s="123"/>
      <c r="G114" s="119"/>
      <c r="H114" s="8"/>
      <c r="I114" s="33"/>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row>
    <row r="115" spans="1:114" s="46" customFormat="1" ht="39" customHeight="1">
      <c r="A115" s="260"/>
      <c r="B115" s="279"/>
      <c r="C115" s="128" t="s">
        <v>237</v>
      </c>
      <c r="D115" s="109">
        <v>3688</v>
      </c>
      <c r="E115" s="105" t="s">
        <v>238</v>
      </c>
      <c r="F115" s="123"/>
      <c r="G115" s="119"/>
      <c r="H115" s="8"/>
      <c r="I115" s="33"/>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row>
    <row r="116" spans="1:114" s="46" customFormat="1" ht="20.25" customHeight="1">
      <c r="A116" s="260"/>
      <c r="B116" s="279"/>
      <c r="C116" s="21" t="s">
        <v>85</v>
      </c>
      <c r="D116" s="60">
        <v>9192.75</v>
      </c>
      <c r="E116" s="125" t="s">
        <v>86</v>
      </c>
      <c r="F116" s="123"/>
      <c r="G116" s="119"/>
      <c r="H116" s="8"/>
      <c r="I116" s="33"/>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row>
    <row r="117" spans="1:9" ht="23.25" customHeight="1">
      <c r="A117" s="260"/>
      <c r="B117" s="279"/>
      <c r="C117" s="152" t="s">
        <v>29</v>
      </c>
      <c r="D117" s="109">
        <v>64487.68</v>
      </c>
      <c r="E117" s="109" t="s">
        <v>142</v>
      </c>
      <c r="F117" s="281"/>
      <c r="G117" s="268"/>
      <c r="H117" s="5"/>
      <c r="I117" s="14"/>
    </row>
    <row r="118" spans="1:9" ht="81.75" customHeight="1">
      <c r="A118" s="260"/>
      <c r="B118" s="279"/>
      <c r="C118" s="171" t="s">
        <v>154</v>
      </c>
      <c r="D118" s="82">
        <f>93980+22196.34+89605.8</f>
        <v>205782.14</v>
      </c>
      <c r="E118" s="171" t="s">
        <v>153</v>
      </c>
      <c r="F118" s="282"/>
      <c r="G118" s="271"/>
      <c r="H118" s="5"/>
      <c r="I118" s="14"/>
    </row>
    <row r="119" spans="1:9" ht="180" customHeight="1">
      <c r="A119" s="260"/>
      <c r="B119" s="279"/>
      <c r="C119" s="174" t="s">
        <v>242</v>
      </c>
      <c r="D119" s="82">
        <f>60510.42+51960</f>
        <v>112470.42</v>
      </c>
      <c r="E119" s="16" t="s">
        <v>241</v>
      </c>
      <c r="F119" s="282"/>
      <c r="G119" s="271"/>
      <c r="H119" s="5"/>
      <c r="I119" s="14"/>
    </row>
    <row r="120" spans="1:9" ht="21.75" customHeight="1">
      <c r="A120" s="260"/>
      <c r="B120" s="279"/>
      <c r="C120" s="116" t="s">
        <v>155</v>
      </c>
      <c r="D120" s="82">
        <v>60</v>
      </c>
      <c r="E120" s="59" t="s">
        <v>108</v>
      </c>
      <c r="F120" s="282"/>
      <c r="G120" s="271"/>
      <c r="H120" s="5"/>
      <c r="I120" s="14"/>
    </row>
    <row r="121" spans="1:9" ht="30" customHeight="1">
      <c r="A121" s="260"/>
      <c r="B121" s="279"/>
      <c r="C121" s="152" t="s">
        <v>254</v>
      </c>
      <c r="D121" s="109">
        <f>4880+5083.23</f>
        <v>9963.23</v>
      </c>
      <c r="E121" s="102" t="s">
        <v>198</v>
      </c>
      <c r="F121" s="282"/>
      <c r="G121" s="271"/>
      <c r="H121" s="5"/>
      <c r="I121" s="14"/>
    </row>
    <row r="122" spans="1:9" ht="15" customHeight="1">
      <c r="A122" s="255"/>
      <c r="B122" s="280"/>
      <c r="C122" s="152"/>
      <c r="D122" s="109"/>
      <c r="E122" s="100"/>
      <c r="F122" s="283"/>
      <c r="G122" s="269"/>
      <c r="H122" s="5"/>
      <c r="I122" s="14"/>
    </row>
    <row r="123" spans="1:114" s="46" customFormat="1" ht="22.5" customHeight="1">
      <c r="A123" s="153" t="s">
        <v>15</v>
      </c>
      <c r="B123" s="52">
        <f>SUM(B111:B111)</f>
        <v>0</v>
      </c>
      <c r="C123" s="152"/>
      <c r="D123" s="22">
        <f>SUM(D111:D122)</f>
        <v>845537.7200000001</v>
      </c>
      <c r="E123" s="23"/>
      <c r="F123" s="10">
        <f>F117</f>
        <v>0</v>
      </c>
      <c r="G123" s="41"/>
      <c r="H123" s="50">
        <f>H117</f>
        <v>0</v>
      </c>
      <c r="I123" s="33"/>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row>
    <row r="124" spans="1:114" s="46" customFormat="1" ht="174.75" customHeight="1" hidden="1">
      <c r="A124" s="153" t="s">
        <v>15</v>
      </c>
      <c r="B124" s="39">
        <f>SUM(B111:B123)</f>
        <v>0</v>
      </c>
      <c r="C124" s="2"/>
      <c r="D124" s="23"/>
      <c r="E124" s="22"/>
      <c r="F124" s="9"/>
      <c r="G124" s="41"/>
      <c r="H124" s="8"/>
      <c r="I124" s="8"/>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row>
    <row r="125" spans="1:114" s="46" customFormat="1" ht="16.5" customHeight="1" hidden="1">
      <c r="A125" s="164" t="s">
        <v>27</v>
      </c>
      <c r="B125" s="62">
        <v>10999</v>
      </c>
      <c r="C125" s="152" t="s">
        <v>35</v>
      </c>
      <c r="D125" s="23"/>
      <c r="E125" s="22"/>
      <c r="F125" s="9"/>
      <c r="G125" s="41"/>
      <c r="H125" s="8"/>
      <c r="I125" s="8"/>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row>
    <row r="126" spans="1:9" ht="17.25" customHeight="1" hidden="1">
      <c r="A126" s="164" t="s">
        <v>27</v>
      </c>
      <c r="B126" s="62">
        <v>1219</v>
      </c>
      <c r="C126" s="152" t="s">
        <v>29</v>
      </c>
      <c r="D126" s="60"/>
      <c r="E126" s="22"/>
      <c r="F126" s="12"/>
      <c r="G126" s="32"/>
      <c r="H126" s="57"/>
      <c r="I126" s="14"/>
    </row>
    <row r="127" spans="1:114" s="46" customFormat="1" ht="16.5" customHeight="1" hidden="1">
      <c r="A127" s="153" t="s">
        <v>15</v>
      </c>
      <c r="B127" s="39">
        <f>SUM(B125:B126)</f>
        <v>12218</v>
      </c>
      <c r="C127" s="2"/>
      <c r="D127" s="23"/>
      <c r="E127" s="22"/>
      <c r="F127" s="9"/>
      <c r="G127" s="41"/>
      <c r="H127" s="8"/>
      <c r="I127" s="8"/>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row>
    <row r="128" spans="1:114" s="46" customFormat="1" ht="16.5" customHeight="1" hidden="1">
      <c r="A128" s="164" t="s">
        <v>22</v>
      </c>
      <c r="B128" s="59">
        <v>3133</v>
      </c>
      <c r="C128" s="152" t="s">
        <v>30</v>
      </c>
      <c r="D128" s="60"/>
      <c r="E128" s="22"/>
      <c r="F128" s="9"/>
      <c r="G128" s="41"/>
      <c r="H128" s="8"/>
      <c r="I128" s="8"/>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row>
    <row r="129" spans="1:114" s="46" customFormat="1" ht="18.75" customHeight="1" hidden="1">
      <c r="A129" s="164" t="s">
        <v>22</v>
      </c>
      <c r="B129" s="59">
        <v>120</v>
      </c>
      <c r="C129" s="152" t="s">
        <v>26</v>
      </c>
      <c r="D129" s="60"/>
      <c r="E129" s="22"/>
      <c r="F129" s="9"/>
      <c r="G129" s="41"/>
      <c r="H129" s="8"/>
      <c r="I129" s="8"/>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row>
    <row r="130" spans="1:114" s="46" customFormat="1" ht="18.75" customHeight="1" hidden="1">
      <c r="A130" s="164" t="s">
        <v>22</v>
      </c>
      <c r="B130" s="59">
        <v>210</v>
      </c>
      <c r="C130" s="152" t="s">
        <v>26</v>
      </c>
      <c r="D130" s="60"/>
      <c r="E130" s="22"/>
      <c r="F130" s="9"/>
      <c r="G130" s="41"/>
      <c r="H130" s="8"/>
      <c r="I130" s="8"/>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row>
    <row r="131" spans="1:114" s="46" customFormat="1" ht="16.5" customHeight="1" hidden="1">
      <c r="A131" s="153" t="s">
        <v>15</v>
      </c>
      <c r="B131" s="22">
        <f>SUM(B128:B130)</f>
        <v>3463</v>
      </c>
      <c r="C131" s="2"/>
      <c r="D131" s="23"/>
      <c r="E131" s="22"/>
      <c r="F131" s="9"/>
      <c r="G131" s="41"/>
      <c r="H131" s="8"/>
      <c r="I131" s="8"/>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row>
    <row r="132" spans="1:114" s="46" customFormat="1" ht="17.25" customHeight="1" hidden="1">
      <c r="A132" s="164" t="s">
        <v>23</v>
      </c>
      <c r="B132" s="63">
        <v>60</v>
      </c>
      <c r="C132" s="152" t="s">
        <v>33</v>
      </c>
      <c r="D132" s="63">
        <v>149639.87</v>
      </c>
      <c r="E132" s="85" t="s">
        <v>32</v>
      </c>
      <c r="F132" s="6"/>
      <c r="G132" s="41"/>
      <c r="H132" s="61"/>
      <c r="I132" s="8"/>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row>
    <row r="133" spans="1:114" s="46" customFormat="1" ht="17.25" customHeight="1" hidden="1">
      <c r="A133" s="164" t="s">
        <v>23</v>
      </c>
      <c r="B133" s="63">
        <v>3951.33</v>
      </c>
      <c r="C133" s="152" t="s">
        <v>34</v>
      </c>
      <c r="D133" s="63"/>
      <c r="E133" s="85"/>
      <c r="F133" s="6"/>
      <c r="G133" s="41"/>
      <c r="H133" s="61"/>
      <c r="I133" s="8"/>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row>
    <row r="134" spans="1:114" s="46" customFormat="1" ht="24" customHeight="1">
      <c r="A134" s="254" t="s">
        <v>27</v>
      </c>
      <c r="B134" s="278">
        <f>360+324</f>
        <v>684</v>
      </c>
      <c r="C134" s="156" t="s">
        <v>81</v>
      </c>
      <c r="D134" s="144">
        <v>673.92</v>
      </c>
      <c r="E134" s="105" t="s">
        <v>91</v>
      </c>
      <c r="F134" s="115"/>
      <c r="G134" s="119"/>
      <c r="H134" s="61"/>
      <c r="I134" s="8"/>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row>
    <row r="135" spans="1:114" s="46" customFormat="1" ht="20.25" customHeight="1">
      <c r="A135" s="260"/>
      <c r="B135" s="279"/>
      <c r="C135" s="128" t="s">
        <v>81</v>
      </c>
      <c r="D135" s="109">
        <v>1280.45</v>
      </c>
      <c r="E135" s="59" t="s">
        <v>92</v>
      </c>
      <c r="F135" s="115"/>
      <c r="G135" s="119"/>
      <c r="H135" s="61"/>
      <c r="I135" s="8"/>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row>
    <row r="136" spans="1:114" s="46" customFormat="1" ht="123.75" customHeight="1">
      <c r="A136" s="260"/>
      <c r="B136" s="279"/>
      <c r="C136" s="128" t="s">
        <v>216</v>
      </c>
      <c r="D136" s="109">
        <v>489343.04</v>
      </c>
      <c r="E136" s="105" t="s">
        <v>87</v>
      </c>
      <c r="F136" s="115"/>
      <c r="G136" s="119"/>
      <c r="H136" s="61"/>
      <c r="I136" s="8"/>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row>
    <row r="137" spans="1:9" ht="29.25" customHeight="1">
      <c r="A137" s="260"/>
      <c r="B137" s="279"/>
      <c r="C137" s="156" t="s">
        <v>138</v>
      </c>
      <c r="D137" s="109">
        <f>1898+160+60</f>
        <v>2118</v>
      </c>
      <c r="E137" s="122" t="s">
        <v>108</v>
      </c>
      <c r="F137" s="281"/>
      <c r="G137" s="268"/>
      <c r="H137" s="57"/>
      <c r="I137" s="14"/>
    </row>
    <row r="138" spans="1:9" ht="27.75" customHeight="1">
      <c r="A138" s="260"/>
      <c r="B138" s="279"/>
      <c r="C138" s="156" t="s">
        <v>254</v>
      </c>
      <c r="D138" s="109">
        <f>5490+5083.23</f>
        <v>10573.23</v>
      </c>
      <c r="E138" s="122" t="s">
        <v>198</v>
      </c>
      <c r="F138" s="282"/>
      <c r="G138" s="271"/>
      <c r="H138" s="57"/>
      <c r="I138" s="104"/>
    </row>
    <row r="139" spans="1:9" ht="27.75" customHeight="1">
      <c r="A139" s="260"/>
      <c r="B139" s="279"/>
      <c r="C139" s="21" t="s">
        <v>85</v>
      </c>
      <c r="D139" s="60">
        <v>55156.5</v>
      </c>
      <c r="E139" s="125" t="s">
        <v>86</v>
      </c>
      <c r="F139" s="282"/>
      <c r="G139" s="271"/>
      <c r="H139" s="57"/>
      <c r="I139" s="104"/>
    </row>
    <row r="140" spans="1:9" ht="20.25" customHeight="1">
      <c r="A140" s="260"/>
      <c r="B140" s="279"/>
      <c r="C140" s="156" t="s">
        <v>192</v>
      </c>
      <c r="D140" s="109"/>
      <c r="E140" s="109"/>
      <c r="F140" s="283"/>
      <c r="G140" s="269"/>
      <c r="H140" s="57"/>
      <c r="I140" s="104"/>
    </row>
    <row r="141" spans="1:114" s="46" customFormat="1" ht="19.5" customHeight="1">
      <c r="A141" s="153" t="s">
        <v>15</v>
      </c>
      <c r="B141" s="52">
        <f>SUM(B134:B134)</f>
        <v>684</v>
      </c>
      <c r="C141" s="158"/>
      <c r="D141" s="22">
        <f>SUM(D134:D140)</f>
        <v>559145.1399999999</v>
      </c>
      <c r="E141" s="23"/>
      <c r="F141" s="10">
        <f>F137</f>
        <v>0</v>
      </c>
      <c r="G141" s="41"/>
      <c r="H141" s="8">
        <f>SUM(H137:H140)</f>
        <v>0</v>
      </c>
      <c r="I141" s="33"/>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row>
    <row r="142" spans="1:114" s="46" customFormat="1" ht="102" customHeight="1">
      <c r="A142" s="254" t="s">
        <v>74</v>
      </c>
      <c r="B142" s="278"/>
      <c r="C142" s="173" t="s">
        <v>249</v>
      </c>
      <c r="D142" s="60">
        <f>76877.13+12728</f>
        <v>89605.13</v>
      </c>
      <c r="E142" s="105" t="s">
        <v>87</v>
      </c>
      <c r="F142" s="281"/>
      <c r="G142" s="268"/>
      <c r="H142" s="57"/>
      <c r="I142" s="14"/>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row>
    <row r="143" spans="1:9" ht="29.25" customHeight="1">
      <c r="A143" s="255"/>
      <c r="B143" s="280"/>
      <c r="C143" s="173" t="s">
        <v>254</v>
      </c>
      <c r="D143" s="60">
        <f>3416+5083.23</f>
        <v>8499.23</v>
      </c>
      <c r="E143" s="122" t="s">
        <v>198</v>
      </c>
      <c r="F143" s="283"/>
      <c r="G143" s="269"/>
      <c r="H143" s="60"/>
      <c r="I143" s="94"/>
    </row>
    <row r="144" spans="1:114" s="46" customFormat="1" ht="25.5" customHeight="1">
      <c r="A144" s="153" t="s">
        <v>15</v>
      </c>
      <c r="B144" s="39">
        <f>SUM(B142:B142)</f>
        <v>0</v>
      </c>
      <c r="C144" s="3"/>
      <c r="D144" s="22">
        <f>SUM(D142:D143)</f>
        <v>98104.36</v>
      </c>
      <c r="E144" s="23"/>
      <c r="F144" s="10">
        <f>F142</f>
        <v>0</v>
      </c>
      <c r="G144" s="41"/>
      <c r="H144" s="8">
        <f>SUM(H142:H143)</f>
        <v>0</v>
      </c>
      <c r="I144" s="33"/>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row>
    <row r="145" spans="1:114" s="46" customFormat="1" ht="18.75" customHeight="1">
      <c r="A145" s="254" t="s">
        <v>75</v>
      </c>
      <c r="B145" s="278">
        <v>120</v>
      </c>
      <c r="C145" s="156" t="s">
        <v>81</v>
      </c>
      <c r="D145" s="144">
        <v>1305.72</v>
      </c>
      <c r="E145" s="105" t="s">
        <v>91</v>
      </c>
      <c r="F145" s="281"/>
      <c r="G145" s="268"/>
      <c r="H145" s="57"/>
      <c r="I145" s="14"/>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row>
    <row r="146" spans="1:114" s="46" customFormat="1" ht="18.75" customHeight="1">
      <c r="A146" s="260"/>
      <c r="B146" s="279"/>
      <c r="C146" s="128" t="s">
        <v>81</v>
      </c>
      <c r="D146" s="109">
        <v>1280.45</v>
      </c>
      <c r="E146" s="59" t="s">
        <v>92</v>
      </c>
      <c r="F146" s="282"/>
      <c r="G146" s="271"/>
      <c r="H146" s="57"/>
      <c r="I146" s="14"/>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row>
    <row r="147" spans="1:114" s="46" customFormat="1" ht="150" customHeight="1">
      <c r="A147" s="260"/>
      <c r="B147" s="279"/>
      <c r="C147" s="137" t="s">
        <v>218</v>
      </c>
      <c r="D147" s="109">
        <v>546886.52</v>
      </c>
      <c r="E147" s="105" t="s">
        <v>87</v>
      </c>
      <c r="F147" s="282"/>
      <c r="G147" s="271"/>
      <c r="H147" s="57"/>
      <c r="I147" s="14"/>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row>
    <row r="148" spans="1:114" s="46" customFormat="1" ht="39.75" customHeight="1">
      <c r="A148" s="260"/>
      <c r="B148" s="279"/>
      <c r="C148" s="137" t="s">
        <v>239</v>
      </c>
      <c r="D148" s="109">
        <v>1952390.8</v>
      </c>
      <c r="E148" s="105" t="s">
        <v>240</v>
      </c>
      <c r="F148" s="282"/>
      <c r="G148" s="271"/>
      <c r="H148" s="57"/>
      <c r="I148" s="14"/>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row>
    <row r="149" spans="1:114" s="46" customFormat="1" ht="33.75" customHeight="1">
      <c r="A149" s="260"/>
      <c r="B149" s="279"/>
      <c r="C149" s="137" t="s">
        <v>156</v>
      </c>
      <c r="D149" s="109">
        <f>480+100</f>
        <v>580</v>
      </c>
      <c r="E149" s="138" t="s">
        <v>108</v>
      </c>
      <c r="F149" s="282"/>
      <c r="G149" s="271"/>
      <c r="H149" s="57"/>
      <c r="I149" s="14"/>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row>
    <row r="150" spans="1:114" s="46" customFormat="1" ht="25.5" customHeight="1">
      <c r="A150" s="260"/>
      <c r="B150" s="279"/>
      <c r="C150" s="21" t="s">
        <v>85</v>
      </c>
      <c r="D150" s="60">
        <v>27578.25</v>
      </c>
      <c r="E150" s="125" t="s">
        <v>86</v>
      </c>
      <c r="F150" s="282"/>
      <c r="G150" s="271"/>
      <c r="H150" s="57"/>
      <c r="I150" s="14"/>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row>
    <row r="151" spans="1:114" s="46" customFormat="1" ht="19.5" customHeight="1">
      <c r="A151" s="260"/>
      <c r="B151" s="279"/>
      <c r="C151" s="156" t="s">
        <v>193</v>
      </c>
      <c r="D151" s="122"/>
      <c r="E151" s="105"/>
      <c r="F151" s="282"/>
      <c r="G151" s="271"/>
      <c r="H151" s="57"/>
      <c r="I151" s="14"/>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row>
    <row r="152" spans="1:9" ht="33" customHeight="1">
      <c r="A152" s="255"/>
      <c r="B152" s="280"/>
      <c r="C152" s="177" t="s">
        <v>254</v>
      </c>
      <c r="D152" s="122">
        <f>7930+5083.23</f>
        <v>13013.23</v>
      </c>
      <c r="E152" s="105" t="s">
        <v>198</v>
      </c>
      <c r="F152" s="283"/>
      <c r="G152" s="269"/>
      <c r="H152" s="57"/>
      <c r="I152" s="14"/>
    </row>
    <row r="153" spans="1:114" s="46" customFormat="1" ht="20.25" customHeight="1">
      <c r="A153" s="153" t="s">
        <v>15</v>
      </c>
      <c r="B153" s="39">
        <f>SUM(B145:B152)</f>
        <v>120</v>
      </c>
      <c r="C153" s="3"/>
      <c r="D153" s="22">
        <f>SUM(D145:D152)</f>
        <v>2543034.97</v>
      </c>
      <c r="E153" s="23"/>
      <c r="F153" s="10">
        <f>F145</f>
        <v>0</v>
      </c>
      <c r="G153" s="41"/>
      <c r="H153" s="8">
        <f>SUM(H145:H152)</f>
        <v>0</v>
      </c>
      <c r="I153" s="33"/>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row>
    <row r="154" spans="1:114" s="46" customFormat="1" ht="23.25" customHeight="1" hidden="1">
      <c r="A154" s="254" t="s">
        <v>76</v>
      </c>
      <c r="B154" s="278">
        <f>791.2+2245.96+562+806+2178.6+1530+1121.2</f>
        <v>9234.960000000001</v>
      </c>
      <c r="C154" s="152"/>
      <c r="D154" s="59"/>
      <c r="E154" s="86"/>
      <c r="F154" s="281"/>
      <c r="G154" s="268"/>
      <c r="H154" s="8"/>
      <c r="I154" s="33"/>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row>
    <row r="155" spans="1:114" s="46" customFormat="1" ht="231.75" customHeight="1">
      <c r="A155" s="260"/>
      <c r="B155" s="279"/>
      <c r="C155" s="162" t="s">
        <v>264</v>
      </c>
      <c r="D155" s="122">
        <f>522405.61+18851.5-79120</f>
        <v>462137.11</v>
      </c>
      <c r="E155" s="105" t="s">
        <v>87</v>
      </c>
      <c r="F155" s="282"/>
      <c r="G155" s="271"/>
      <c r="H155" s="8"/>
      <c r="I155" s="120"/>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row>
    <row r="156" spans="1:114" s="46" customFormat="1" ht="19.5" customHeight="1">
      <c r="A156" s="260"/>
      <c r="B156" s="279"/>
      <c r="C156" s="128" t="s">
        <v>29</v>
      </c>
      <c r="D156" s="109"/>
      <c r="E156" s="122"/>
      <c r="F156" s="282"/>
      <c r="G156" s="271"/>
      <c r="H156" s="8"/>
      <c r="I156" s="120"/>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row>
    <row r="157" spans="1:114" s="46" customFormat="1" ht="141.75" customHeight="1">
      <c r="A157" s="260"/>
      <c r="B157" s="279"/>
      <c r="C157" s="156" t="s">
        <v>106</v>
      </c>
      <c r="D157" s="122">
        <v>142506</v>
      </c>
      <c r="E157" s="105" t="s">
        <v>80</v>
      </c>
      <c r="F157" s="282"/>
      <c r="G157" s="271"/>
      <c r="H157" s="8"/>
      <c r="I157" s="120"/>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row>
    <row r="158" spans="1:114" s="46" customFormat="1" ht="218.25" customHeight="1">
      <c r="A158" s="260"/>
      <c r="B158" s="279"/>
      <c r="C158" s="146" t="s">
        <v>158</v>
      </c>
      <c r="D158" s="109">
        <v>402168.72</v>
      </c>
      <c r="E158" s="106" t="s">
        <v>132</v>
      </c>
      <c r="F158" s="282"/>
      <c r="G158" s="271"/>
      <c r="H158" s="8"/>
      <c r="I158" s="120"/>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row>
    <row r="159" spans="1:114" s="46" customFormat="1" ht="41.25" customHeight="1">
      <c r="A159" s="260"/>
      <c r="B159" s="279"/>
      <c r="C159" s="156" t="s">
        <v>157</v>
      </c>
      <c r="D159" s="122">
        <f>750+240+6175</f>
        <v>7165</v>
      </c>
      <c r="E159" s="105" t="s">
        <v>108</v>
      </c>
      <c r="F159" s="282"/>
      <c r="G159" s="271"/>
      <c r="H159" s="8"/>
      <c r="I159" s="120"/>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row>
    <row r="160" spans="1:114" s="46" customFormat="1" ht="47.25" customHeight="1">
      <c r="A160" s="260"/>
      <c r="B160" s="279"/>
      <c r="C160" s="165" t="s">
        <v>160</v>
      </c>
      <c r="D160" s="122">
        <v>245480.54</v>
      </c>
      <c r="E160" s="172" t="s">
        <v>159</v>
      </c>
      <c r="F160" s="282"/>
      <c r="G160" s="271"/>
      <c r="H160" s="8"/>
      <c r="I160" s="120"/>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row>
    <row r="161" spans="1:114" s="46" customFormat="1" ht="24.75" customHeight="1">
      <c r="A161" s="260"/>
      <c r="B161" s="279"/>
      <c r="C161" s="165" t="s">
        <v>113</v>
      </c>
      <c r="D161" s="109">
        <f>1082.18</f>
        <v>1082.18</v>
      </c>
      <c r="E161" s="122" t="s">
        <v>112</v>
      </c>
      <c r="F161" s="282"/>
      <c r="G161" s="271"/>
      <c r="H161" s="8"/>
      <c r="I161" s="120"/>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row>
    <row r="162" spans="1:114" s="46" customFormat="1" ht="33" customHeight="1">
      <c r="A162" s="260"/>
      <c r="B162" s="279"/>
      <c r="C162" s="165" t="s">
        <v>254</v>
      </c>
      <c r="D162" s="109">
        <f>6710+5083.23</f>
        <v>11793.23</v>
      </c>
      <c r="E162" s="122" t="s">
        <v>198</v>
      </c>
      <c r="F162" s="282"/>
      <c r="G162" s="271"/>
      <c r="H162" s="8"/>
      <c r="I162" s="120"/>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row>
    <row r="163" spans="1:114" s="46" customFormat="1" ht="122.25" customHeight="1">
      <c r="A163" s="260"/>
      <c r="B163" s="279"/>
      <c r="C163" s="165" t="s">
        <v>173</v>
      </c>
      <c r="D163" s="109">
        <f>87150+800+75472.25+29277.9+96513.89+106300</f>
        <v>395514.04</v>
      </c>
      <c r="E163" s="122" t="s">
        <v>110</v>
      </c>
      <c r="F163" s="282"/>
      <c r="G163" s="271"/>
      <c r="H163" s="8"/>
      <c r="I163" s="120"/>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row>
    <row r="164" spans="1:114" s="46" customFormat="1" ht="24" customHeight="1">
      <c r="A164" s="153" t="s">
        <v>15</v>
      </c>
      <c r="B164" s="52">
        <f>SUM(B154:B154)</f>
        <v>9234.960000000001</v>
      </c>
      <c r="C164" s="152"/>
      <c r="D164" s="22">
        <f>SUM(D155:D163)</f>
        <v>1667846.8199999998</v>
      </c>
      <c r="E164" s="60"/>
      <c r="F164" s="10">
        <f>F154</f>
        <v>0</v>
      </c>
      <c r="G164" s="41"/>
      <c r="H164" s="50">
        <f>SUM(H154:H163)</f>
        <v>0</v>
      </c>
      <c r="I164" s="33"/>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row>
    <row r="165" spans="1:114" s="46" customFormat="1" ht="29.25" customHeight="1">
      <c r="A165" s="277" t="s">
        <v>37</v>
      </c>
      <c r="B165" s="278">
        <v>7880</v>
      </c>
      <c r="C165" s="156" t="s">
        <v>81</v>
      </c>
      <c r="D165" s="144">
        <v>1305.72</v>
      </c>
      <c r="E165" s="105" t="s">
        <v>91</v>
      </c>
      <c r="F165" s="266"/>
      <c r="G165" s="268"/>
      <c r="H165" s="57"/>
      <c r="I165" s="14"/>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row>
    <row r="166" spans="1:114" s="46" customFormat="1" ht="20.25" customHeight="1">
      <c r="A166" s="277"/>
      <c r="B166" s="279"/>
      <c r="C166" s="128" t="s">
        <v>81</v>
      </c>
      <c r="D166" s="109">
        <v>1280.45</v>
      </c>
      <c r="E166" s="59" t="s">
        <v>92</v>
      </c>
      <c r="F166" s="270"/>
      <c r="G166" s="271"/>
      <c r="H166" s="57"/>
      <c r="I166" s="14"/>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row>
    <row r="167" spans="1:114" s="46" customFormat="1" ht="121.5" customHeight="1">
      <c r="A167" s="277"/>
      <c r="B167" s="279"/>
      <c r="C167" s="165" t="s">
        <v>221</v>
      </c>
      <c r="D167" s="122">
        <v>270761.54</v>
      </c>
      <c r="E167" s="105" t="s">
        <v>87</v>
      </c>
      <c r="F167" s="270"/>
      <c r="G167" s="271"/>
      <c r="H167" s="57"/>
      <c r="I167" s="14"/>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row>
    <row r="168" spans="1:114" s="46" customFormat="1" ht="35.25" customHeight="1">
      <c r="A168" s="277"/>
      <c r="B168" s="279"/>
      <c r="C168" s="165" t="s">
        <v>250</v>
      </c>
      <c r="D168" s="122"/>
      <c r="E168" s="105"/>
      <c r="F168" s="270"/>
      <c r="G168" s="271"/>
      <c r="H168" s="57"/>
      <c r="I168" s="14"/>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row>
    <row r="169" spans="1:114" s="46" customFormat="1" ht="25.5" customHeight="1">
      <c r="A169" s="277"/>
      <c r="B169" s="279"/>
      <c r="C169" s="21" t="s">
        <v>85</v>
      </c>
      <c r="D169" s="60">
        <v>18385.5</v>
      </c>
      <c r="E169" s="125" t="s">
        <v>86</v>
      </c>
      <c r="F169" s="270"/>
      <c r="G169" s="271"/>
      <c r="H169" s="57"/>
      <c r="I169" s="14"/>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row>
    <row r="170" spans="1:114" s="46" customFormat="1" ht="27" customHeight="1">
      <c r="A170" s="277"/>
      <c r="B170" s="279"/>
      <c r="C170" s="156" t="s">
        <v>120</v>
      </c>
      <c r="D170" s="122">
        <v>240</v>
      </c>
      <c r="E170" s="105" t="s">
        <v>108</v>
      </c>
      <c r="F170" s="270"/>
      <c r="G170" s="271"/>
      <c r="H170" s="57"/>
      <c r="I170" s="14"/>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row>
    <row r="171" spans="1:114" s="46" customFormat="1" ht="30.75" customHeight="1">
      <c r="A171" s="277"/>
      <c r="B171" s="280"/>
      <c r="C171" s="128" t="s">
        <v>254</v>
      </c>
      <c r="D171" s="109">
        <f>6710+5083.23</f>
        <v>11793.23</v>
      </c>
      <c r="E171" s="122" t="s">
        <v>198</v>
      </c>
      <c r="F171" s="267"/>
      <c r="G171" s="269"/>
      <c r="H171" s="61"/>
      <c r="I171" s="8"/>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row>
    <row r="172" spans="1:114" s="46" customFormat="1" ht="19.5" customHeight="1">
      <c r="A172" s="153" t="s">
        <v>15</v>
      </c>
      <c r="B172" s="64">
        <f>B165</f>
        <v>7880</v>
      </c>
      <c r="C172" s="2"/>
      <c r="D172" s="64">
        <f>SUM(D165:D171)</f>
        <v>303766.43999999994</v>
      </c>
      <c r="E172" s="22"/>
      <c r="F172" s="9">
        <f>F165</f>
        <v>0</v>
      </c>
      <c r="G172" s="41"/>
      <c r="H172" s="8">
        <f>SUM(H165:H171)</f>
        <v>0</v>
      </c>
      <c r="I172" s="8"/>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row>
    <row r="173" spans="1:114" s="46" customFormat="1" ht="142.5" customHeight="1">
      <c r="A173" s="254" t="s">
        <v>53</v>
      </c>
      <c r="B173" s="261">
        <v>138</v>
      </c>
      <c r="C173" s="156" t="s">
        <v>222</v>
      </c>
      <c r="D173" s="122">
        <v>319625.29</v>
      </c>
      <c r="E173" s="105" t="s">
        <v>87</v>
      </c>
      <c r="F173" s="266"/>
      <c r="G173" s="268"/>
      <c r="H173" s="8"/>
      <c r="I173" s="8"/>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row>
    <row r="174" spans="1:114" s="46" customFormat="1" ht="58.5" customHeight="1">
      <c r="A174" s="260"/>
      <c r="B174" s="262"/>
      <c r="C174" s="158" t="s">
        <v>161</v>
      </c>
      <c r="D174" s="122">
        <f>7740+6552+420</f>
        <v>14712</v>
      </c>
      <c r="E174" s="122" t="s">
        <v>108</v>
      </c>
      <c r="F174" s="270"/>
      <c r="G174" s="271"/>
      <c r="H174" s="8"/>
      <c r="I174" s="8"/>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row>
    <row r="175" spans="1:114" s="46" customFormat="1" ht="19.5" customHeight="1">
      <c r="A175" s="260"/>
      <c r="B175" s="262"/>
      <c r="C175" s="158" t="s">
        <v>194</v>
      </c>
      <c r="D175" s="122"/>
      <c r="E175" s="138"/>
      <c r="F175" s="270"/>
      <c r="G175" s="271"/>
      <c r="H175" s="8"/>
      <c r="I175" s="8"/>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row>
    <row r="176" spans="1:114" s="46" customFormat="1" ht="19.5" customHeight="1">
      <c r="A176" s="260"/>
      <c r="B176" s="262"/>
      <c r="C176" s="21" t="s">
        <v>85</v>
      </c>
      <c r="D176" s="60">
        <v>18385.5</v>
      </c>
      <c r="E176" s="125" t="s">
        <v>86</v>
      </c>
      <c r="F176" s="270"/>
      <c r="G176" s="271"/>
      <c r="H176" s="8"/>
      <c r="I176" s="8"/>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row>
    <row r="177" spans="1:114" s="46" customFormat="1" ht="27" customHeight="1">
      <c r="A177" s="260"/>
      <c r="B177" s="262"/>
      <c r="C177" s="158" t="s">
        <v>254</v>
      </c>
      <c r="D177" s="122">
        <f>2440+5083.23</f>
        <v>7523.23</v>
      </c>
      <c r="E177" s="138" t="s">
        <v>198</v>
      </c>
      <c r="F177" s="270"/>
      <c r="G177" s="271"/>
      <c r="H177" s="8"/>
      <c r="I177" s="8"/>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row>
    <row r="178" spans="1:114" s="46" customFormat="1" ht="19.5" customHeight="1">
      <c r="A178" s="260"/>
      <c r="B178" s="262"/>
      <c r="C178" s="158" t="s">
        <v>134</v>
      </c>
      <c r="D178" s="122">
        <v>4320</v>
      </c>
      <c r="E178" s="106" t="s">
        <v>141</v>
      </c>
      <c r="F178" s="267"/>
      <c r="G178" s="269"/>
      <c r="H178" s="61"/>
      <c r="I178" s="8"/>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row>
    <row r="179" spans="1:114" s="46" customFormat="1" ht="21" customHeight="1">
      <c r="A179" s="153" t="s">
        <v>15</v>
      </c>
      <c r="B179" s="64">
        <f>SUM(B173)</f>
        <v>138</v>
      </c>
      <c r="C179" s="2"/>
      <c r="D179" s="64">
        <f>SUM(D173:D178)</f>
        <v>364566.01999999996</v>
      </c>
      <c r="E179" s="22"/>
      <c r="F179" s="9">
        <f>F173</f>
        <v>0</v>
      </c>
      <c r="G179" s="41"/>
      <c r="H179" s="8">
        <f>SUM(H173:H178)</f>
        <v>0</v>
      </c>
      <c r="I179" s="8"/>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row>
    <row r="180" spans="1:114" s="46" customFormat="1" ht="33.75" customHeight="1">
      <c r="A180" s="254" t="s">
        <v>77</v>
      </c>
      <c r="B180" s="261"/>
      <c r="C180" s="152" t="s">
        <v>223</v>
      </c>
      <c r="D180" s="59">
        <v>643552.58</v>
      </c>
      <c r="E180" s="105" t="s">
        <v>87</v>
      </c>
      <c r="F180" s="9"/>
      <c r="G180" s="41"/>
      <c r="H180" s="8"/>
      <c r="I180" s="8"/>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row>
    <row r="181" spans="1:114" s="46" customFormat="1" ht="27.75" customHeight="1">
      <c r="A181" s="255"/>
      <c r="B181" s="265"/>
      <c r="C181" s="166" t="s">
        <v>254</v>
      </c>
      <c r="D181" s="148">
        <f>5490+5083.23</f>
        <v>10573.23</v>
      </c>
      <c r="E181" s="109" t="s">
        <v>198</v>
      </c>
      <c r="F181" s="170"/>
      <c r="G181" s="110"/>
      <c r="H181" s="8"/>
      <c r="I181" s="8"/>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row>
    <row r="182" spans="1:114" s="46" customFormat="1" ht="19.5" customHeight="1">
      <c r="A182" s="153" t="s">
        <v>15</v>
      </c>
      <c r="B182" s="22">
        <f>SUM(B180)</f>
        <v>0</v>
      </c>
      <c r="C182" s="2"/>
      <c r="D182" s="23">
        <f>SUM(D180:D181)</f>
        <v>654125.8099999999</v>
      </c>
      <c r="E182" s="103"/>
      <c r="F182" s="9"/>
      <c r="G182" s="41"/>
      <c r="H182" s="8">
        <f>SUM(H181:H181)</f>
        <v>0</v>
      </c>
      <c r="I182" s="8"/>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row>
    <row r="183" spans="1:114" s="46" customFormat="1" ht="54" customHeight="1">
      <c r="A183" s="254" t="s">
        <v>38</v>
      </c>
      <c r="B183" s="261"/>
      <c r="C183" s="156" t="s">
        <v>251</v>
      </c>
      <c r="D183" s="59">
        <f>251683.58+10966.8</f>
        <v>262650.38</v>
      </c>
      <c r="E183" s="105" t="s">
        <v>87</v>
      </c>
      <c r="F183" s="266"/>
      <c r="G183" s="268"/>
      <c r="H183" s="57"/>
      <c r="I183" s="14"/>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row>
    <row r="184" spans="1:114" s="46" customFormat="1" ht="24.75" customHeight="1">
      <c r="A184" s="260"/>
      <c r="B184" s="262"/>
      <c r="C184" s="21" t="s">
        <v>85</v>
      </c>
      <c r="D184" s="60">
        <v>9192.75</v>
      </c>
      <c r="E184" s="125" t="s">
        <v>86</v>
      </c>
      <c r="F184" s="270"/>
      <c r="G184" s="271"/>
      <c r="H184" s="57"/>
      <c r="I184" s="14"/>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row>
    <row r="185" spans="1:114" s="46" customFormat="1" ht="36" customHeight="1">
      <c r="A185" s="255"/>
      <c r="B185" s="265"/>
      <c r="C185" s="152" t="s">
        <v>254</v>
      </c>
      <c r="D185" s="82">
        <f>6710+5083.23</f>
        <v>11793.23</v>
      </c>
      <c r="E185" s="122" t="s">
        <v>198</v>
      </c>
      <c r="F185" s="267"/>
      <c r="G185" s="269"/>
      <c r="H185" s="8"/>
      <c r="I185" s="8"/>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row>
    <row r="186" spans="1:114" s="46" customFormat="1" ht="19.5" customHeight="1">
      <c r="A186" s="153" t="s">
        <v>15</v>
      </c>
      <c r="B186" s="22">
        <f>B183</f>
        <v>0</v>
      </c>
      <c r="C186" s="2"/>
      <c r="D186" s="23">
        <f>SUM(D183:D185)</f>
        <v>283636.36</v>
      </c>
      <c r="E186" s="59"/>
      <c r="F186" s="9">
        <f>F183</f>
        <v>0</v>
      </c>
      <c r="G186" s="41"/>
      <c r="H186" s="8">
        <f>SUM(H183:H185)</f>
        <v>0</v>
      </c>
      <c r="I186" s="8"/>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row>
    <row r="187" spans="1:114" s="46" customFormat="1" ht="117" customHeight="1">
      <c r="A187" s="254" t="s">
        <v>56</v>
      </c>
      <c r="B187" s="261">
        <f>150+63.25</f>
        <v>213.25</v>
      </c>
      <c r="C187" s="128" t="s">
        <v>253</v>
      </c>
      <c r="D187" s="60">
        <f>236102.05+21053</f>
        <v>257155.05</v>
      </c>
      <c r="E187" s="105" t="s">
        <v>87</v>
      </c>
      <c r="F187" s="266"/>
      <c r="G187" s="274"/>
      <c r="H187" s="57"/>
      <c r="I187" s="14"/>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row>
    <row r="188" spans="1:114" s="46" customFormat="1" ht="19.5" customHeight="1">
      <c r="A188" s="260"/>
      <c r="B188" s="262"/>
      <c r="C188" s="149" t="s">
        <v>118</v>
      </c>
      <c r="D188" s="60"/>
      <c r="E188" s="105"/>
      <c r="F188" s="270"/>
      <c r="G188" s="275"/>
      <c r="H188" s="57"/>
      <c r="I188" s="14"/>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row>
    <row r="189" spans="1:114" s="46" customFormat="1" ht="19.5" customHeight="1">
      <c r="A189" s="260"/>
      <c r="B189" s="262"/>
      <c r="C189" s="21" t="s">
        <v>85</v>
      </c>
      <c r="D189" s="60">
        <v>27578.25</v>
      </c>
      <c r="E189" s="125" t="s">
        <v>86</v>
      </c>
      <c r="F189" s="270"/>
      <c r="G189" s="275"/>
      <c r="H189" s="57"/>
      <c r="I189" s="14"/>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row>
    <row r="190" spans="1:114" s="46" customFormat="1" ht="33.75" customHeight="1">
      <c r="A190" s="260"/>
      <c r="B190" s="262"/>
      <c r="C190" s="149" t="s">
        <v>254</v>
      </c>
      <c r="D190" s="60">
        <f>1220+5083.23</f>
        <v>6303.23</v>
      </c>
      <c r="E190" s="105" t="s">
        <v>198</v>
      </c>
      <c r="F190" s="270"/>
      <c r="G190" s="275"/>
      <c r="H190" s="57"/>
      <c r="I190" s="14"/>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row>
    <row r="191" spans="1:114" s="46" customFormat="1" ht="39.75" customHeight="1">
      <c r="A191" s="260"/>
      <c r="B191" s="262"/>
      <c r="C191" s="149" t="s">
        <v>176</v>
      </c>
      <c r="D191" s="60">
        <f>1314+4080+432</f>
        <v>5826</v>
      </c>
      <c r="E191" s="105" t="s">
        <v>175</v>
      </c>
      <c r="F191" s="270"/>
      <c r="G191" s="275"/>
      <c r="H191" s="57"/>
      <c r="I191" s="14"/>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row>
    <row r="192" spans="1:114" s="46" customFormat="1" ht="53.25" customHeight="1">
      <c r="A192" s="255"/>
      <c r="B192" s="265"/>
      <c r="C192" s="114" t="s">
        <v>162</v>
      </c>
      <c r="D192" s="82">
        <f>7740+6242</f>
        <v>13982</v>
      </c>
      <c r="E192" s="59" t="s">
        <v>131</v>
      </c>
      <c r="F192" s="267"/>
      <c r="G192" s="276"/>
      <c r="H192" s="8"/>
      <c r="I192" s="8"/>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row>
    <row r="193" spans="1:114" s="46" customFormat="1" ht="21.75" customHeight="1">
      <c r="A193" s="153" t="s">
        <v>15</v>
      </c>
      <c r="B193" s="22">
        <f>B187</f>
        <v>213.25</v>
      </c>
      <c r="C193" s="2"/>
      <c r="D193" s="23">
        <f>SUM(D187:D192)</f>
        <v>310844.52999999997</v>
      </c>
      <c r="E193" s="59"/>
      <c r="F193" s="9">
        <f>F187</f>
        <v>0</v>
      </c>
      <c r="G193" s="41"/>
      <c r="H193" s="8">
        <f>SUM(H187:H192)</f>
        <v>0</v>
      </c>
      <c r="I193" s="8"/>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row>
    <row r="194" spans="1:114" s="46" customFormat="1" ht="21" customHeight="1">
      <c r="A194" s="254" t="s">
        <v>78</v>
      </c>
      <c r="B194" s="261"/>
      <c r="C194" s="156" t="s">
        <v>81</v>
      </c>
      <c r="D194" s="144">
        <v>673.92</v>
      </c>
      <c r="E194" s="105" t="s">
        <v>91</v>
      </c>
      <c r="F194" s="126"/>
      <c r="G194" s="119"/>
      <c r="H194" s="8"/>
      <c r="I194" s="8"/>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row>
    <row r="195" spans="1:114" s="46" customFormat="1" ht="24.75" customHeight="1">
      <c r="A195" s="260"/>
      <c r="B195" s="262"/>
      <c r="C195" s="128" t="s">
        <v>81</v>
      </c>
      <c r="D195" s="109">
        <v>2560.9</v>
      </c>
      <c r="E195" s="59" t="s">
        <v>92</v>
      </c>
      <c r="F195" s="126"/>
      <c r="G195" s="119"/>
      <c r="H195" s="8"/>
      <c r="I195" s="8"/>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row>
    <row r="196" spans="1:114" s="46" customFormat="1" ht="54" customHeight="1">
      <c r="A196" s="260"/>
      <c r="B196" s="262"/>
      <c r="C196" s="136" t="s">
        <v>93</v>
      </c>
      <c r="D196" s="131">
        <v>165000</v>
      </c>
      <c r="E196" s="135" t="s">
        <v>97</v>
      </c>
      <c r="F196" s="126"/>
      <c r="G196" s="119"/>
      <c r="H196" s="8"/>
      <c r="I196" s="8"/>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row>
    <row r="197" spans="1:114" s="46" customFormat="1" ht="93.75" customHeight="1">
      <c r="A197" s="260"/>
      <c r="B197" s="262"/>
      <c r="C197" s="128" t="s">
        <v>252</v>
      </c>
      <c r="D197" s="148">
        <f>637855.98+111776</f>
        <v>749631.98</v>
      </c>
      <c r="E197" s="105" t="s">
        <v>87</v>
      </c>
      <c r="F197" s="266"/>
      <c r="G197" s="268"/>
      <c r="H197" s="59"/>
      <c r="I197" s="94"/>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row>
    <row r="198" spans="1:114" s="46" customFormat="1" ht="22.5" customHeight="1">
      <c r="A198" s="260"/>
      <c r="B198" s="262"/>
      <c r="C198" s="156" t="s">
        <v>143</v>
      </c>
      <c r="D198" s="122">
        <f>75+544</f>
        <v>619</v>
      </c>
      <c r="E198" s="105" t="s">
        <v>108</v>
      </c>
      <c r="F198" s="270"/>
      <c r="G198" s="271"/>
      <c r="H198" s="59"/>
      <c r="I198" s="94"/>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row>
    <row r="199" spans="1:114" s="46" customFormat="1" ht="25.5">
      <c r="A199" s="255"/>
      <c r="B199" s="265"/>
      <c r="C199" s="162" t="s">
        <v>254</v>
      </c>
      <c r="D199" s="122">
        <f>3172+5083.23</f>
        <v>8255.23</v>
      </c>
      <c r="E199" s="105" t="s">
        <v>198</v>
      </c>
      <c r="F199" s="267"/>
      <c r="G199" s="269"/>
      <c r="H199" s="8"/>
      <c r="I199" s="8"/>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row>
    <row r="200" spans="1:114" s="46" customFormat="1" ht="19.5" customHeight="1">
      <c r="A200" s="153" t="s">
        <v>15</v>
      </c>
      <c r="B200" s="22">
        <f>SUM(B194)</f>
        <v>0</v>
      </c>
      <c r="C200" s="2"/>
      <c r="D200" s="23">
        <f>SUM(D194:D199)</f>
        <v>926741.03</v>
      </c>
      <c r="E200" s="59"/>
      <c r="F200" s="9">
        <f>F197</f>
        <v>0</v>
      </c>
      <c r="G200" s="41"/>
      <c r="H200" s="8">
        <f>SUM(H197:H199)</f>
        <v>0</v>
      </c>
      <c r="I200" s="8"/>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row>
    <row r="201" spans="1:114" s="46" customFormat="1" ht="20.25" customHeight="1" hidden="1">
      <c r="A201" s="254" t="s">
        <v>39</v>
      </c>
      <c r="B201" s="261"/>
      <c r="C201" s="272"/>
      <c r="D201" s="83"/>
      <c r="E201" s="16"/>
      <c r="F201" s="266"/>
      <c r="G201" s="268"/>
      <c r="H201" s="57"/>
      <c r="I201" s="14"/>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row>
    <row r="202" spans="1:114" s="46" customFormat="1" ht="0.75" customHeight="1" hidden="1">
      <c r="A202" s="260"/>
      <c r="B202" s="262"/>
      <c r="C202" s="273"/>
      <c r="D202" s="88"/>
      <c r="E202" s="88"/>
      <c r="F202" s="270"/>
      <c r="G202" s="271"/>
      <c r="H202" s="8"/>
      <c r="I202" s="8"/>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row>
    <row r="203" spans="1:114" s="46" customFormat="1" ht="20.25" customHeight="1" hidden="1">
      <c r="A203" s="255"/>
      <c r="B203" s="265"/>
      <c r="C203" s="152"/>
      <c r="D203" s="59"/>
      <c r="E203" s="78"/>
      <c r="F203" s="267"/>
      <c r="G203" s="269"/>
      <c r="H203" s="8"/>
      <c r="I203" s="8"/>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row>
    <row r="204" spans="1:114" s="46" customFormat="1" ht="19.5" customHeight="1" hidden="1">
      <c r="A204" s="153" t="s">
        <v>15</v>
      </c>
      <c r="B204" s="22">
        <f>SUM(B201)</f>
        <v>0</v>
      </c>
      <c r="C204" s="2"/>
      <c r="D204" s="23">
        <f>SUM(D201:D203)</f>
        <v>0</v>
      </c>
      <c r="E204" s="59"/>
      <c r="F204" s="9">
        <f>F201</f>
        <v>0</v>
      </c>
      <c r="G204" s="41"/>
      <c r="H204" s="8">
        <f>SUM(H201:H203)</f>
        <v>0</v>
      </c>
      <c r="I204" s="8"/>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row>
    <row r="205" spans="1:114" s="46" customFormat="1" ht="27.75" customHeight="1">
      <c r="A205" s="254" t="s">
        <v>40</v>
      </c>
      <c r="B205" s="261">
        <v>120</v>
      </c>
      <c r="C205" s="156" t="s">
        <v>81</v>
      </c>
      <c r="D205" s="144">
        <v>673.92</v>
      </c>
      <c r="E205" s="105" t="s">
        <v>91</v>
      </c>
      <c r="F205" s="126"/>
      <c r="G205" s="119"/>
      <c r="H205" s="8"/>
      <c r="I205" s="8"/>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row>
    <row r="206" spans="1:114" s="46" customFormat="1" ht="24.75" customHeight="1">
      <c r="A206" s="260"/>
      <c r="B206" s="262"/>
      <c r="C206" s="128" t="s">
        <v>81</v>
      </c>
      <c r="D206" s="109">
        <v>1920.47</v>
      </c>
      <c r="E206" s="59" t="s">
        <v>92</v>
      </c>
      <c r="F206" s="126"/>
      <c r="G206" s="119"/>
      <c r="H206" s="8"/>
      <c r="I206" s="8"/>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row>
    <row r="207" spans="1:114" s="46" customFormat="1" ht="61.5" customHeight="1">
      <c r="A207" s="260"/>
      <c r="B207" s="262"/>
      <c r="C207" s="136" t="s">
        <v>93</v>
      </c>
      <c r="D207" s="131">
        <v>165000</v>
      </c>
      <c r="E207" s="135" t="s">
        <v>97</v>
      </c>
      <c r="F207" s="266"/>
      <c r="G207" s="268"/>
      <c r="H207" s="57"/>
      <c r="I207" s="14"/>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row>
    <row r="208" spans="1:114" s="46" customFormat="1" ht="76.5" customHeight="1">
      <c r="A208" s="260"/>
      <c r="B208" s="262"/>
      <c r="C208" s="128" t="s">
        <v>227</v>
      </c>
      <c r="D208" s="148">
        <v>461135.58</v>
      </c>
      <c r="E208" s="105" t="s">
        <v>87</v>
      </c>
      <c r="F208" s="270"/>
      <c r="G208" s="271"/>
      <c r="H208" s="57"/>
      <c r="I208" s="14"/>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row>
    <row r="209" spans="1:114" s="46" customFormat="1" ht="25.5" customHeight="1">
      <c r="A209" s="260"/>
      <c r="B209" s="262"/>
      <c r="C209" s="21" t="s">
        <v>85</v>
      </c>
      <c r="D209" s="60">
        <v>18385.5</v>
      </c>
      <c r="E209" s="125" t="s">
        <v>86</v>
      </c>
      <c r="F209" s="270"/>
      <c r="G209" s="271"/>
      <c r="H209" s="57"/>
      <c r="I209" s="14"/>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row>
    <row r="210" spans="1:114" s="46" customFormat="1" ht="26.25" customHeight="1">
      <c r="A210" s="260"/>
      <c r="B210" s="262"/>
      <c r="C210" s="128" t="s">
        <v>254</v>
      </c>
      <c r="D210" s="148">
        <f>9760+5083.23</f>
        <v>14843.23</v>
      </c>
      <c r="E210" s="105" t="s">
        <v>198</v>
      </c>
      <c r="F210" s="270"/>
      <c r="G210" s="271"/>
      <c r="H210" s="57"/>
      <c r="I210" s="14"/>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row>
    <row r="211" spans="1:114" s="46" customFormat="1" ht="21.75" customHeight="1">
      <c r="A211" s="260"/>
      <c r="B211" s="262"/>
      <c r="C211" s="156" t="s">
        <v>81</v>
      </c>
      <c r="D211" s="122">
        <v>960</v>
      </c>
      <c r="E211" s="105" t="s">
        <v>117</v>
      </c>
      <c r="F211" s="270"/>
      <c r="G211" s="271"/>
      <c r="H211" s="57"/>
      <c r="I211" s="14"/>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row>
    <row r="212" spans="1:114" s="46" customFormat="1" ht="27" customHeight="1">
      <c r="A212" s="260"/>
      <c r="B212" s="262"/>
      <c r="C212" s="156" t="s">
        <v>155</v>
      </c>
      <c r="D212" s="131">
        <v>40</v>
      </c>
      <c r="E212" s="105" t="s">
        <v>108</v>
      </c>
      <c r="F212" s="270"/>
      <c r="G212" s="271"/>
      <c r="H212" s="57"/>
      <c r="I212" s="14"/>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row>
    <row r="213" spans="1:114" s="46" customFormat="1" ht="20.25" customHeight="1">
      <c r="A213" s="255"/>
      <c r="B213" s="265"/>
      <c r="C213" s="158" t="s">
        <v>194</v>
      </c>
      <c r="D213" s="122"/>
      <c r="E213" s="109"/>
      <c r="F213" s="267"/>
      <c r="G213" s="269"/>
      <c r="H213" s="8"/>
      <c r="I213" s="8"/>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row>
    <row r="214" spans="1:114" s="46" customFormat="1" ht="21" customHeight="1">
      <c r="A214" s="153" t="s">
        <v>15</v>
      </c>
      <c r="B214" s="22">
        <f>SUM(B205)</f>
        <v>120</v>
      </c>
      <c r="C214" s="2"/>
      <c r="D214" s="23">
        <f>SUM(D205:D213)</f>
        <v>662958.7</v>
      </c>
      <c r="E214" s="103"/>
      <c r="F214" s="9">
        <f>F207</f>
        <v>0</v>
      </c>
      <c r="G214" s="41"/>
      <c r="H214" s="8">
        <f>SUM(H207:H213)</f>
        <v>0</v>
      </c>
      <c r="I214" s="8"/>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row>
    <row r="215" spans="1:114" s="46" customFormat="1" ht="56.25" customHeight="1">
      <c r="A215" s="254" t="s">
        <v>31</v>
      </c>
      <c r="B215" s="261"/>
      <c r="C215" s="156" t="s">
        <v>228</v>
      </c>
      <c r="D215" s="59">
        <v>265899.98</v>
      </c>
      <c r="E215" s="105" t="s">
        <v>87</v>
      </c>
      <c r="F215" s="266"/>
      <c r="G215" s="268"/>
      <c r="H215" s="57"/>
      <c r="I215" s="14"/>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row>
    <row r="216" spans="1:114" s="46" customFormat="1" ht="27.75" customHeight="1">
      <c r="A216" s="260"/>
      <c r="B216" s="262"/>
      <c r="C216" s="21" t="s">
        <v>85</v>
      </c>
      <c r="D216" s="60">
        <v>110313</v>
      </c>
      <c r="E216" s="125" t="s">
        <v>86</v>
      </c>
      <c r="F216" s="270"/>
      <c r="G216" s="271"/>
      <c r="H216" s="57"/>
      <c r="I216" s="14"/>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row>
    <row r="217" spans="1:114" s="46" customFormat="1" ht="37.5" customHeight="1">
      <c r="A217" s="255"/>
      <c r="B217" s="265"/>
      <c r="C217" s="168" t="s">
        <v>254</v>
      </c>
      <c r="D217" s="59">
        <f>3050+5083.23</f>
        <v>8133.23</v>
      </c>
      <c r="E217" s="122" t="s">
        <v>198</v>
      </c>
      <c r="F217" s="267"/>
      <c r="G217" s="269"/>
      <c r="H217" s="8"/>
      <c r="I217" s="8"/>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row>
    <row r="218" spans="1:114" s="46" customFormat="1" ht="18.75" customHeight="1">
      <c r="A218" s="153" t="s">
        <v>15</v>
      </c>
      <c r="B218" s="22">
        <f>B215</f>
        <v>0</v>
      </c>
      <c r="C218" s="2"/>
      <c r="D218" s="23">
        <f>SUM(D215:D217)</f>
        <v>384346.20999999996</v>
      </c>
      <c r="E218" s="22"/>
      <c r="F218" s="9">
        <f>F215</f>
        <v>0</v>
      </c>
      <c r="G218" s="41"/>
      <c r="H218" s="8">
        <f>SUM(H215:H217)</f>
        <v>0</v>
      </c>
      <c r="I218" s="8"/>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row>
    <row r="219" spans="1:114" s="46" customFormat="1" ht="108.75" customHeight="1">
      <c r="A219" s="254" t="s">
        <v>41</v>
      </c>
      <c r="B219" s="261">
        <f>420+26400+24</f>
        <v>26844</v>
      </c>
      <c r="C219" s="156" t="s">
        <v>229</v>
      </c>
      <c r="D219" s="59">
        <v>441879.3</v>
      </c>
      <c r="E219" s="105" t="s">
        <v>87</v>
      </c>
      <c r="F219" s="266"/>
      <c r="G219" s="268"/>
      <c r="H219" s="8"/>
      <c r="I219" s="8"/>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row>
    <row r="220" spans="1:114" s="46" customFormat="1" ht="56.25" customHeight="1">
      <c r="A220" s="260"/>
      <c r="B220" s="262"/>
      <c r="C220" s="128" t="s">
        <v>163</v>
      </c>
      <c r="D220" s="109">
        <f>6420+8100+370</f>
        <v>14890</v>
      </c>
      <c r="E220" s="105" t="s">
        <v>108</v>
      </c>
      <c r="F220" s="270"/>
      <c r="G220" s="271"/>
      <c r="H220" s="8"/>
      <c r="I220" s="8"/>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row>
    <row r="221" spans="1:114" s="46" customFormat="1" ht="20.25" customHeight="1">
      <c r="A221" s="260"/>
      <c r="B221" s="262"/>
      <c r="C221" s="21" t="s">
        <v>85</v>
      </c>
      <c r="D221" s="60">
        <v>36771</v>
      </c>
      <c r="E221" s="125" t="s">
        <v>86</v>
      </c>
      <c r="F221" s="270"/>
      <c r="G221" s="271"/>
      <c r="H221" s="8"/>
      <c r="I221" s="8"/>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row>
    <row r="222" spans="1:114" s="46" customFormat="1" ht="19.5" customHeight="1">
      <c r="A222" s="260"/>
      <c r="B222" s="262"/>
      <c r="C222" s="165" t="s">
        <v>195</v>
      </c>
      <c r="D222" s="109"/>
      <c r="E222" s="122"/>
      <c r="F222" s="270"/>
      <c r="G222" s="271"/>
      <c r="H222" s="8"/>
      <c r="I222" s="8"/>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row>
    <row r="223" spans="1:114" s="46" customFormat="1" ht="30" customHeight="1">
      <c r="A223" s="255"/>
      <c r="B223" s="265"/>
      <c r="C223" s="173" t="s">
        <v>254</v>
      </c>
      <c r="D223" s="82">
        <f>4270+5083.23</f>
        <v>9353.23</v>
      </c>
      <c r="E223" s="78" t="s">
        <v>198</v>
      </c>
      <c r="F223" s="267"/>
      <c r="G223" s="269"/>
      <c r="H223" s="59"/>
      <c r="I223" s="96"/>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row>
    <row r="224" spans="1:114" s="46" customFormat="1" ht="23.25" customHeight="1">
      <c r="A224" s="153" t="s">
        <v>15</v>
      </c>
      <c r="B224" s="22">
        <f>B219</f>
        <v>26844</v>
      </c>
      <c r="C224" s="2"/>
      <c r="D224" s="23">
        <f>SUM(D219:D223)</f>
        <v>502893.52999999997</v>
      </c>
      <c r="E224" s="103"/>
      <c r="F224" s="9">
        <f>F219</f>
        <v>0</v>
      </c>
      <c r="G224" s="41"/>
      <c r="H224" s="8">
        <f>SUM(H219:H223)</f>
        <v>0</v>
      </c>
      <c r="I224" s="8"/>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5"/>
      <c r="CK224" s="45"/>
      <c r="CL224" s="45"/>
      <c r="CM224" s="45"/>
      <c r="CN224" s="45"/>
      <c r="CO224" s="45"/>
      <c r="CP224" s="45"/>
      <c r="CQ224" s="45"/>
      <c r="CR224" s="45"/>
      <c r="CS224" s="45"/>
      <c r="CT224" s="45"/>
      <c r="CU224" s="45"/>
      <c r="CV224" s="45"/>
      <c r="CW224" s="45"/>
      <c r="CX224" s="45"/>
      <c r="CY224" s="45"/>
      <c r="CZ224" s="45"/>
      <c r="DA224" s="45"/>
      <c r="DB224" s="45"/>
      <c r="DC224" s="45"/>
      <c r="DD224" s="45"/>
      <c r="DE224" s="45"/>
      <c r="DF224" s="45"/>
      <c r="DG224" s="45"/>
      <c r="DH224" s="45"/>
      <c r="DI224" s="45"/>
      <c r="DJ224" s="45"/>
    </row>
    <row r="225" spans="1:114" s="46" customFormat="1" ht="22.5" customHeight="1">
      <c r="A225" s="258" t="s">
        <v>79</v>
      </c>
      <c r="B225" s="256"/>
      <c r="C225" s="21"/>
      <c r="D225" s="60"/>
      <c r="E225" s="125"/>
      <c r="F225" s="9"/>
      <c r="G225" s="41"/>
      <c r="H225" s="8"/>
      <c r="I225" s="8"/>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row>
    <row r="226" spans="1:114" s="46" customFormat="1" ht="16.5" customHeight="1">
      <c r="A226" s="263"/>
      <c r="B226" s="264"/>
      <c r="C226" s="128"/>
      <c r="D226" s="60"/>
      <c r="E226" s="178"/>
      <c r="F226" s="9"/>
      <c r="G226" s="41"/>
      <c r="H226" s="8"/>
      <c r="I226" s="8"/>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row>
    <row r="227" spans="1:114" s="46" customFormat="1" ht="16.5" customHeight="1">
      <c r="A227" s="259"/>
      <c r="B227" s="257"/>
      <c r="C227" s="21"/>
      <c r="D227" s="60"/>
      <c r="E227" s="59"/>
      <c r="F227" s="12"/>
      <c r="G227" s="41"/>
      <c r="H227" s="5"/>
      <c r="I227" s="14"/>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row>
    <row r="228" spans="1:114" s="46" customFormat="1" ht="23.25" customHeight="1">
      <c r="A228" s="153" t="s">
        <v>15</v>
      </c>
      <c r="B228" s="22">
        <v>0</v>
      </c>
      <c r="C228" s="2"/>
      <c r="D228" s="23">
        <f>SUM(D225:D227)</f>
        <v>0</v>
      </c>
      <c r="E228" s="22"/>
      <c r="F228" s="9">
        <v>0</v>
      </c>
      <c r="G228" s="41"/>
      <c r="H228" s="50">
        <f>SUM(H227)</f>
        <v>0</v>
      </c>
      <c r="I228" s="8"/>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c r="CO228" s="45"/>
      <c r="CP228" s="45"/>
      <c r="CQ228" s="45"/>
      <c r="CR228" s="45"/>
      <c r="CS228" s="45"/>
      <c r="CT228" s="45"/>
      <c r="CU228" s="45"/>
      <c r="CV228" s="45"/>
      <c r="CW228" s="45"/>
      <c r="CX228" s="45"/>
      <c r="CY228" s="45"/>
      <c r="CZ228" s="45"/>
      <c r="DA228" s="45"/>
      <c r="DB228" s="45"/>
      <c r="DC228" s="45"/>
      <c r="DD228" s="45"/>
      <c r="DE228" s="45"/>
      <c r="DF228" s="45"/>
      <c r="DG228" s="45"/>
      <c r="DH228" s="45"/>
      <c r="DI228" s="45"/>
      <c r="DJ228" s="45"/>
    </row>
    <row r="229" spans="1:114" s="46" customFormat="1" ht="118.5" customHeight="1">
      <c r="A229" s="254" t="s">
        <v>47</v>
      </c>
      <c r="B229" s="261">
        <v>806</v>
      </c>
      <c r="C229" s="152" t="s">
        <v>260</v>
      </c>
      <c r="D229" s="82">
        <f>61053.85+25456</f>
        <v>86509.85</v>
      </c>
      <c r="E229" s="105" t="s">
        <v>87</v>
      </c>
      <c r="F229" s="6"/>
      <c r="G229" s="41"/>
      <c r="H229" s="57"/>
      <c r="I229" s="14"/>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c r="CR229" s="45"/>
      <c r="CS229" s="45"/>
      <c r="CT229" s="45"/>
      <c r="CU229" s="45"/>
      <c r="CV229" s="45"/>
      <c r="CW229" s="45"/>
      <c r="CX229" s="45"/>
      <c r="CY229" s="45"/>
      <c r="CZ229" s="45"/>
      <c r="DA229" s="45"/>
      <c r="DB229" s="45"/>
      <c r="DC229" s="45"/>
      <c r="DD229" s="45"/>
      <c r="DE229" s="45"/>
      <c r="DF229" s="45"/>
      <c r="DG229" s="45"/>
      <c r="DH229" s="45"/>
      <c r="DI229" s="45"/>
      <c r="DJ229" s="45"/>
    </row>
    <row r="230" spans="1:114" s="46" customFormat="1" ht="31.5" customHeight="1">
      <c r="A230" s="260"/>
      <c r="B230" s="262"/>
      <c r="C230" s="152" t="s">
        <v>134</v>
      </c>
      <c r="D230" s="82">
        <v>4320</v>
      </c>
      <c r="E230" s="122" t="s">
        <v>117</v>
      </c>
      <c r="F230" s="6"/>
      <c r="G230" s="41"/>
      <c r="H230" s="57"/>
      <c r="I230" s="14"/>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row>
    <row r="231" spans="1:114" s="46" customFormat="1" ht="21" customHeight="1">
      <c r="A231" s="255"/>
      <c r="B231" s="265"/>
      <c r="C231" s="156" t="s">
        <v>196</v>
      </c>
      <c r="D231" s="82"/>
      <c r="E231" s="16"/>
      <c r="F231" s="6"/>
      <c r="G231" s="41"/>
      <c r="H231" s="57"/>
      <c r="I231" s="14"/>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row>
    <row r="232" spans="1:114" s="46" customFormat="1" ht="24.75" customHeight="1">
      <c r="A232" s="153" t="s">
        <v>15</v>
      </c>
      <c r="B232" s="22">
        <f>B229</f>
        <v>806</v>
      </c>
      <c r="C232" s="2"/>
      <c r="D232" s="23">
        <f>SUM(D229:D231)</f>
        <v>90829.85</v>
      </c>
      <c r="E232" s="22"/>
      <c r="F232" s="9"/>
      <c r="G232" s="41"/>
      <c r="H232" s="8">
        <f>H229</f>
        <v>0</v>
      </c>
      <c r="I232" s="8"/>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c r="CW232" s="45"/>
      <c r="CX232" s="45"/>
      <c r="CY232" s="45"/>
      <c r="CZ232" s="45"/>
      <c r="DA232" s="45"/>
      <c r="DB232" s="45"/>
      <c r="DC232" s="45"/>
      <c r="DD232" s="45"/>
      <c r="DE232" s="45"/>
      <c r="DF232" s="45"/>
      <c r="DG232" s="45"/>
      <c r="DH232" s="45"/>
      <c r="DI232" s="45"/>
      <c r="DJ232" s="45"/>
    </row>
    <row r="233" spans="1:114" s="46" customFormat="1" ht="24.75" customHeight="1">
      <c r="A233" s="254" t="s">
        <v>36</v>
      </c>
      <c r="B233" s="256"/>
      <c r="C233" s="21" t="s">
        <v>208</v>
      </c>
      <c r="D233" s="60">
        <v>24.3</v>
      </c>
      <c r="E233" s="105" t="s">
        <v>87</v>
      </c>
      <c r="F233" s="9"/>
      <c r="G233" s="41"/>
      <c r="H233" s="8"/>
      <c r="I233" s="8"/>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45"/>
      <c r="CA233" s="45"/>
      <c r="CB233" s="45"/>
      <c r="CC233" s="45"/>
      <c r="CD233" s="45"/>
      <c r="CE233" s="45"/>
      <c r="CF233" s="45"/>
      <c r="CG233" s="45"/>
      <c r="CH233" s="45"/>
      <c r="CI233" s="45"/>
      <c r="CJ233" s="45"/>
      <c r="CK233" s="45"/>
      <c r="CL233" s="45"/>
      <c r="CM233" s="45"/>
      <c r="CN233" s="45"/>
      <c r="CO233" s="45"/>
      <c r="CP233" s="45"/>
      <c r="CQ233" s="45"/>
      <c r="CR233" s="45"/>
      <c r="CS233" s="45"/>
      <c r="CT233" s="45"/>
      <c r="CU233" s="45"/>
      <c r="CV233" s="45"/>
      <c r="CW233" s="45"/>
      <c r="CX233" s="45"/>
      <c r="CY233" s="45"/>
      <c r="CZ233" s="45"/>
      <c r="DA233" s="45"/>
      <c r="DB233" s="45"/>
      <c r="DC233" s="45"/>
      <c r="DD233" s="45"/>
      <c r="DE233" s="45"/>
      <c r="DF233" s="45"/>
      <c r="DG233" s="45"/>
      <c r="DH233" s="45"/>
      <c r="DI233" s="45"/>
      <c r="DJ233" s="45"/>
    </row>
    <row r="234" spans="1:114" s="46" customFormat="1" ht="15.75" customHeight="1">
      <c r="A234" s="255"/>
      <c r="B234" s="257"/>
      <c r="C234" s="152"/>
      <c r="D234" s="82"/>
      <c r="E234" s="16"/>
      <c r="F234" s="6"/>
      <c r="G234" s="41"/>
      <c r="H234" s="57"/>
      <c r="I234" s="14"/>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45"/>
      <c r="CA234" s="45"/>
      <c r="CB234" s="45"/>
      <c r="CC234" s="45"/>
      <c r="CD234" s="45"/>
      <c r="CE234" s="45"/>
      <c r="CF234" s="45"/>
      <c r="CG234" s="45"/>
      <c r="CH234" s="45"/>
      <c r="CI234" s="45"/>
      <c r="CJ234" s="45"/>
      <c r="CK234" s="45"/>
      <c r="CL234" s="45"/>
      <c r="CM234" s="45"/>
      <c r="CN234" s="45"/>
      <c r="CO234" s="45"/>
      <c r="CP234" s="45"/>
      <c r="CQ234" s="45"/>
      <c r="CR234" s="45"/>
      <c r="CS234" s="45"/>
      <c r="CT234" s="45"/>
      <c r="CU234" s="45"/>
      <c r="CV234" s="45"/>
      <c r="CW234" s="45"/>
      <c r="CX234" s="45"/>
      <c r="CY234" s="45"/>
      <c r="CZ234" s="45"/>
      <c r="DA234" s="45"/>
      <c r="DB234" s="45"/>
      <c r="DC234" s="45"/>
      <c r="DD234" s="45"/>
      <c r="DE234" s="45"/>
      <c r="DF234" s="45"/>
      <c r="DG234" s="45"/>
      <c r="DH234" s="45"/>
      <c r="DI234" s="45"/>
      <c r="DJ234" s="45"/>
    </row>
    <row r="235" spans="1:114" s="46" customFormat="1" ht="20.25" customHeight="1">
      <c r="A235" s="153" t="s">
        <v>15</v>
      </c>
      <c r="B235" s="22">
        <f>B234</f>
        <v>0</v>
      </c>
      <c r="C235" s="2"/>
      <c r="D235" s="23">
        <f>SUM(D233:D234)</f>
        <v>24.3</v>
      </c>
      <c r="E235" s="22"/>
      <c r="F235" s="9"/>
      <c r="G235" s="41"/>
      <c r="H235" s="8">
        <f>H234</f>
        <v>0</v>
      </c>
      <c r="I235" s="8"/>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5"/>
      <c r="CN235" s="45"/>
      <c r="CO235" s="45"/>
      <c r="CP235" s="45"/>
      <c r="CQ235" s="45"/>
      <c r="CR235" s="45"/>
      <c r="CS235" s="45"/>
      <c r="CT235" s="45"/>
      <c r="CU235" s="45"/>
      <c r="CV235" s="45"/>
      <c r="CW235" s="45"/>
      <c r="CX235" s="45"/>
      <c r="CY235" s="45"/>
      <c r="CZ235" s="45"/>
      <c r="DA235" s="45"/>
      <c r="DB235" s="45"/>
      <c r="DC235" s="45"/>
      <c r="DD235" s="45"/>
      <c r="DE235" s="45"/>
      <c r="DF235" s="45"/>
      <c r="DG235" s="45"/>
      <c r="DH235" s="45"/>
      <c r="DI235" s="45"/>
      <c r="DJ235" s="45"/>
    </row>
    <row r="236" spans="1:114" s="46" customFormat="1" ht="80.25" customHeight="1">
      <c r="A236" s="254" t="s">
        <v>43</v>
      </c>
      <c r="B236" s="256"/>
      <c r="C236" s="152" t="s">
        <v>201</v>
      </c>
      <c r="D236" s="59">
        <v>56007.19</v>
      </c>
      <c r="E236" s="105" t="s">
        <v>87</v>
      </c>
      <c r="F236" s="9"/>
      <c r="G236" s="41"/>
      <c r="H236" s="8"/>
      <c r="I236" s="8"/>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c r="CJ236" s="45"/>
      <c r="CK236" s="45"/>
      <c r="CL236" s="45"/>
      <c r="CM236" s="45"/>
      <c r="CN236" s="45"/>
      <c r="CO236" s="45"/>
      <c r="CP236" s="45"/>
      <c r="CQ236" s="45"/>
      <c r="CR236" s="45"/>
      <c r="CS236" s="45"/>
      <c r="CT236" s="45"/>
      <c r="CU236" s="45"/>
      <c r="CV236" s="45"/>
      <c r="CW236" s="45"/>
      <c r="CX236" s="45"/>
      <c r="CY236" s="45"/>
      <c r="CZ236" s="45"/>
      <c r="DA236" s="45"/>
      <c r="DB236" s="45"/>
      <c r="DC236" s="45"/>
      <c r="DD236" s="45"/>
      <c r="DE236" s="45"/>
      <c r="DF236" s="45"/>
      <c r="DG236" s="45"/>
      <c r="DH236" s="45"/>
      <c r="DI236" s="45"/>
      <c r="DJ236" s="45"/>
    </row>
    <row r="237" spans="1:114" s="46" customFormat="1" ht="30.75" customHeight="1">
      <c r="A237" s="255"/>
      <c r="B237" s="257"/>
      <c r="C237" s="152"/>
      <c r="D237" s="83"/>
      <c r="E237" s="16"/>
      <c r="F237" s="6"/>
      <c r="G237" s="41"/>
      <c r="H237" s="57"/>
      <c r="I237" s="14"/>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5"/>
      <c r="CN237" s="45"/>
      <c r="CO237" s="45"/>
      <c r="CP237" s="45"/>
      <c r="CQ237" s="45"/>
      <c r="CR237" s="45"/>
      <c r="CS237" s="45"/>
      <c r="CT237" s="45"/>
      <c r="CU237" s="45"/>
      <c r="CV237" s="45"/>
      <c r="CW237" s="45"/>
      <c r="CX237" s="45"/>
      <c r="CY237" s="45"/>
      <c r="CZ237" s="45"/>
      <c r="DA237" s="45"/>
      <c r="DB237" s="45"/>
      <c r="DC237" s="45"/>
      <c r="DD237" s="45"/>
      <c r="DE237" s="45"/>
      <c r="DF237" s="45"/>
      <c r="DG237" s="45"/>
      <c r="DH237" s="45"/>
      <c r="DI237" s="45"/>
      <c r="DJ237" s="45"/>
    </row>
    <row r="238" spans="1:114" s="46" customFormat="1" ht="23.25" customHeight="1">
      <c r="A238" s="153" t="s">
        <v>15</v>
      </c>
      <c r="B238" s="22">
        <f>B237</f>
        <v>0</v>
      </c>
      <c r="C238" s="2"/>
      <c r="D238" s="23">
        <f>SUM(D236:D237)</f>
        <v>56007.19</v>
      </c>
      <c r="E238" s="22"/>
      <c r="F238" s="9"/>
      <c r="G238" s="41"/>
      <c r="H238" s="8">
        <f>H237</f>
        <v>0</v>
      </c>
      <c r="I238" s="8"/>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c r="CA238" s="45"/>
      <c r="CB238" s="45"/>
      <c r="CC238" s="45"/>
      <c r="CD238" s="45"/>
      <c r="CE238" s="45"/>
      <c r="CF238" s="45"/>
      <c r="CG238" s="45"/>
      <c r="CH238" s="45"/>
      <c r="CI238" s="45"/>
      <c r="CJ238" s="45"/>
      <c r="CK238" s="45"/>
      <c r="CL238" s="45"/>
      <c r="CM238" s="45"/>
      <c r="CN238" s="45"/>
      <c r="CO238" s="45"/>
      <c r="CP238" s="45"/>
      <c r="CQ238" s="45"/>
      <c r="CR238" s="45"/>
      <c r="CS238" s="45"/>
      <c r="CT238" s="45"/>
      <c r="CU238" s="45"/>
      <c r="CV238" s="45"/>
      <c r="CW238" s="45"/>
      <c r="CX238" s="45"/>
      <c r="CY238" s="45"/>
      <c r="CZ238" s="45"/>
      <c r="DA238" s="45"/>
      <c r="DB238" s="45"/>
      <c r="DC238" s="45"/>
      <c r="DD238" s="45"/>
      <c r="DE238" s="45"/>
      <c r="DF238" s="45"/>
      <c r="DG238" s="45"/>
      <c r="DH238" s="45"/>
      <c r="DI238" s="45"/>
      <c r="DJ238" s="45"/>
    </row>
    <row r="239" spans="1:114" s="46" customFormat="1" ht="114" customHeight="1">
      <c r="A239" s="258" t="s">
        <v>52</v>
      </c>
      <c r="B239" s="256"/>
      <c r="C239" s="21" t="s">
        <v>260</v>
      </c>
      <c r="D239" s="60">
        <f>61053.85+35982.5</f>
        <v>97036.35</v>
      </c>
      <c r="E239" s="105" t="s">
        <v>87</v>
      </c>
      <c r="F239" s="9"/>
      <c r="G239" s="41"/>
      <c r="H239" s="8"/>
      <c r="I239" s="8"/>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5"/>
      <c r="BZ239" s="45"/>
      <c r="CA239" s="45"/>
      <c r="CB239" s="45"/>
      <c r="CC239" s="45"/>
      <c r="CD239" s="45"/>
      <c r="CE239" s="45"/>
      <c r="CF239" s="45"/>
      <c r="CG239" s="45"/>
      <c r="CH239" s="45"/>
      <c r="CI239" s="45"/>
      <c r="CJ239" s="45"/>
      <c r="CK239" s="45"/>
      <c r="CL239" s="45"/>
      <c r="CM239" s="45"/>
      <c r="CN239" s="45"/>
      <c r="CO239" s="45"/>
      <c r="CP239" s="45"/>
      <c r="CQ239" s="45"/>
      <c r="CR239" s="45"/>
      <c r="CS239" s="45"/>
      <c r="CT239" s="45"/>
      <c r="CU239" s="45"/>
      <c r="CV239" s="45"/>
      <c r="CW239" s="45"/>
      <c r="CX239" s="45"/>
      <c r="CY239" s="45"/>
      <c r="CZ239" s="45"/>
      <c r="DA239" s="45"/>
      <c r="DB239" s="45"/>
      <c r="DC239" s="45"/>
      <c r="DD239" s="45"/>
      <c r="DE239" s="45"/>
      <c r="DF239" s="45"/>
      <c r="DG239" s="45"/>
      <c r="DH239" s="45"/>
      <c r="DI239" s="45"/>
      <c r="DJ239" s="45"/>
    </row>
    <row r="240" spans="1:114" s="46" customFormat="1" ht="28.5" customHeight="1">
      <c r="A240" s="259"/>
      <c r="B240" s="257"/>
      <c r="C240" s="21" t="s">
        <v>135</v>
      </c>
      <c r="D240" s="82">
        <v>4320</v>
      </c>
      <c r="E240" s="16" t="s">
        <v>117</v>
      </c>
      <c r="F240" s="9"/>
      <c r="G240" s="41"/>
      <c r="H240" s="57"/>
      <c r="I240" s="14"/>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c r="BK240" s="45"/>
      <c r="BL240" s="45"/>
      <c r="BM240" s="45"/>
      <c r="BN240" s="45"/>
      <c r="BO240" s="45"/>
      <c r="BP240" s="45"/>
      <c r="BQ240" s="45"/>
      <c r="BR240" s="45"/>
      <c r="BS240" s="45"/>
      <c r="BT240" s="45"/>
      <c r="BU240" s="45"/>
      <c r="BV240" s="45"/>
      <c r="BW240" s="45"/>
      <c r="BX240" s="45"/>
      <c r="BY240" s="45"/>
      <c r="BZ240" s="45"/>
      <c r="CA240" s="45"/>
      <c r="CB240" s="45"/>
      <c r="CC240" s="45"/>
      <c r="CD240" s="45"/>
      <c r="CE240" s="45"/>
      <c r="CF240" s="45"/>
      <c r="CG240" s="45"/>
      <c r="CH240" s="45"/>
      <c r="CI240" s="45"/>
      <c r="CJ240" s="45"/>
      <c r="CK240" s="45"/>
      <c r="CL240" s="45"/>
      <c r="CM240" s="45"/>
      <c r="CN240" s="45"/>
      <c r="CO240" s="45"/>
      <c r="CP240" s="45"/>
      <c r="CQ240" s="45"/>
      <c r="CR240" s="45"/>
      <c r="CS240" s="45"/>
      <c r="CT240" s="45"/>
      <c r="CU240" s="45"/>
      <c r="CV240" s="45"/>
      <c r="CW240" s="45"/>
      <c r="CX240" s="45"/>
      <c r="CY240" s="45"/>
      <c r="CZ240" s="45"/>
      <c r="DA240" s="45"/>
      <c r="DB240" s="45"/>
      <c r="DC240" s="45"/>
      <c r="DD240" s="45"/>
      <c r="DE240" s="45"/>
      <c r="DF240" s="45"/>
      <c r="DG240" s="45"/>
      <c r="DH240" s="45"/>
      <c r="DI240" s="45"/>
      <c r="DJ240" s="45"/>
    </row>
    <row r="241" spans="1:114" s="46" customFormat="1" ht="29.25" customHeight="1">
      <c r="A241" s="153" t="s">
        <v>15</v>
      </c>
      <c r="B241" s="22">
        <f>B240</f>
        <v>0</v>
      </c>
      <c r="C241" s="2"/>
      <c r="D241" s="23">
        <f>SUM(D239:D240)</f>
        <v>101356.35</v>
      </c>
      <c r="E241" s="22"/>
      <c r="F241" s="9"/>
      <c r="G241" s="41"/>
      <c r="H241" s="8">
        <f>H240</f>
        <v>0</v>
      </c>
      <c r="I241" s="8"/>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c r="BJ241" s="45"/>
      <c r="BK241" s="45"/>
      <c r="BL241" s="45"/>
      <c r="BM241" s="45"/>
      <c r="BN241" s="45"/>
      <c r="BO241" s="45"/>
      <c r="BP241" s="45"/>
      <c r="BQ241" s="45"/>
      <c r="BR241" s="45"/>
      <c r="BS241" s="45"/>
      <c r="BT241" s="45"/>
      <c r="BU241" s="45"/>
      <c r="BV241" s="45"/>
      <c r="BW241" s="45"/>
      <c r="BX241" s="45"/>
      <c r="BY241" s="45"/>
      <c r="BZ241" s="45"/>
      <c r="CA241" s="45"/>
      <c r="CB241" s="45"/>
      <c r="CC241" s="45"/>
      <c r="CD241" s="45"/>
      <c r="CE241" s="45"/>
      <c r="CF241" s="45"/>
      <c r="CG241" s="45"/>
      <c r="CH241" s="45"/>
      <c r="CI241" s="45"/>
      <c r="CJ241" s="45"/>
      <c r="CK241" s="45"/>
      <c r="CL241" s="45"/>
      <c r="CM241" s="45"/>
      <c r="CN241" s="45"/>
      <c r="CO241" s="45"/>
      <c r="CP241" s="45"/>
      <c r="CQ241" s="45"/>
      <c r="CR241" s="45"/>
      <c r="CS241" s="45"/>
      <c r="CT241" s="45"/>
      <c r="CU241" s="45"/>
      <c r="CV241" s="45"/>
      <c r="CW241" s="45"/>
      <c r="CX241" s="45"/>
      <c r="CY241" s="45"/>
      <c r="CZ241" s="45"/>
      <c r="DA241" s="45"/>
      <c r="DB241" s="45"/>
      <c r="DC241" s="45"/>
      <c r="DD241" s="45"/>
      <c r="DE241" s="45"/>
      <c r="DF241" s="45"/>
      <c r="DG241" s="45"/>
      <c r="DH241" s="45"/>
      <c r="DI241" s="45"/>
      <c r="DJ241" s="45"/>
    </row>
    <row r="242" spans="1:114" s="46" customFormat="1" ht="39.75" customHeight="1">
      <c r="A242" s="78" t="s">
        <v>50</v>
      </c>
      <c r="B242" s="59"/>
      <c r="C242" s="21" t="s">
        <v>231</v>
      </c>
      <c r="D242" s="148">
        <v>85864.3</v>
      </c>
      <c r="E242" s="105" t="s">
        <v>87</v>
      </c>
      <c r="F242" s="6"/>
      <c r="G242" s="41"/>
      <c r="H242" s="57"/>
      <c r="I242" s="14"/>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c r="BK242" s="45"/>
      <c r="BL242" s="45"/>
      <c r="BM242" s="45"/>
      <c r="BN242" s="45"/>
      <c r="BO242" s="45"/>
      <c r="BP242" s="45"/>
      <c r="BQ242" s="45"/>
      <c r="BR242" s="45"/>
      <c r="BS242" s="45"/>
      <c r="BT242" s="45"/>
      <c r="BU242" s="45"/>
      <c r="BV242" s="45"/>
      <c r="BW242" s="45"/>
      <c r="BX242" s="45"/>
      <c r="BY242" s="45"/>
      <c r="BZ242" s="45"/>
      <c r="CA242" s="45"/>
      <c r="CB242" s="45"/>
      <c r="CC242" s="45"/>
      <c r="CD242" s="45"/>
      <c r="CE242" s="45"/>
      <c r="CF242" s="45"/>
      <c r="CG242" s="45"/>
      <c r="CH242" s="45"/>
      <c r="CI242" s="45"/>
      <c r="CJ242" s="45"/>
      <c r="CK242" s="45"/>
      <c r="CL242" s="45"/>
      <c r="CM242" s="45"/>
      <c r="CN242" s="45"/>
      <c r="CO242" s="45"/>
      <c r="CP242" s="45"/>
      <c r="CQ242" s="45"/>
      <c r="CR242" s="45"/>
      <c r="CS242" s="45"/>
      <c r="CT242" s="45"/>
      <c r="CU242" s="45"/>
      <c r="CV242" s="45"/>
      <c r="CW242" s="45"/>
      <c r="CX242" s="45"/>
      <c r="CY242" s="45"/>
      <c r="CZ242" s="45"/>
      <c r="DA242" s="45"/>
      <c r="DB242" s="45"/>
      <c r="DC242" s="45"/>
      <c r="DD242" s="45"/>
      <c r="DE242" s="45"/>
      <c r="DF242" s="45"/>
      <c r="DG242" s="45"/>
      <c r="DH242" s="45"/>
      <c r="DI242" s="45"/>
      <c r="DJ242" s="45"/>
    </row>
    <row r="243" spans="1:114" s="46" customFormat="1" ht="24.75" customHeight="1">
      <c r="A243" s="153" t="s">
        <v>15</v>
      </c>
      <c r="B243" s="22">
        <f>SUM(B242)</f>
        <v>0</v>
      </c>
      <c r="C243" s="2"/>
      <c r="D243" s="23">
        <f>D242</f>
        <v>85864.3</v>
      </c>
      <c r="E243" s="22"/>
      <c r="F243" s="9"/>
      <c r="G243" s="41"/>
      <c r="H243" s="8">
        <f>H242</f>
        <v>0</v>
      </c>
      <c r="I243" s="8"/>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5"/>
      <c r="CN243" s="45"/>
      <c r="CO243" s="45"/>
      <c r="CP243" s="45"/>
      <c r="CQ243" s="45"/>
      <c r="CR243" s="45"/>
      <c r="CS243" s="45"/>
      <c r="CT243" s="45"/>
      <c r="CU243" s="45"/>
      <c r="CV243" s="45"/>
      <c r="CW243" s="45"/>
      <c r="CX243" s="45"/>
      <c r="CY243" s="45"/>
      <c r="CZ243" s="45"/>
      <c r="DA243" s="45"/>
      <c r="DB243" s="45"/>
      <c r="DC243" s="45"/>
      <c r="DD243" s="45"/>
      <c r="DE243" s="45"/>
      <c r="DF243" s="45"/>
      <c r="DG243" s="45"/>
      <c r="DH243" s="45"/>
      <c r="DI243" s="45"/>
      <c r="DJ243" s="45"/>
    </row>
    <row r="244" spans="1:114" s="46" customFormat="1" ht="31.5">
      <c r="A244" s="254" t="s">
        <v>42</v>
      </c>
      <c r="B244" s="256"/>
      <c r="C244" s="21" t="s">
        <v>262</v>
      </c>
      <c r="D244" s="60">
        <f>56206.04-50998.33</f>
        <v>5207.709999999999</v>
      </c>
      <c r="E244" s="105" t="s">
        <v>87</v>
      </c>
      <c r="F244" s="9"/>
      <c r="G244" s="41"/>
      <c r="H244" s="8"/>
      <c r="I244" s="8"/>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c r="BN244" s="45"/>
      <c r="BO244" s="45"/>
      <c r="BP244" s="45"/>
      <c r="BQ244" s="45"/>
      <c r="BR244" s="45"/>
      <c r="BS244" s="45"/>
      <c r="BT244" s="45"/>
      <c r="BU244" s="45"/>
      <c r="BV244" s="45"/>
      <c r="BW244" s="45"/>
      <c r="BX244" s="45"/>
      <c r="BY244" s="45"/>
      <c r="BZ244" s="45"/>
      <c r="CA244" s="45"/>
      <c r="CB244" s="45"/>
      <c r="CC244" s="45"/>
      <c r="CD244" s="45"/>
      <c r="CE244" s="45"/>
      <c r="CF244" s="45"/>
      <c r="CG244" s="45"/>
      <c r="CH244" s="45"/>
      <c r="CI244" s="45"/>
      <c r="CJ244" s="45"/>
      <c r="CK244" s="45"/>
      <c r="CL244" s="45"/>
      <c r="CM244" s="45"/>
      <c r="CN244" s="45"/>
      <c r="CO244" s="45"/>
      <c r="CP244" s="45"/>
      <c r="CQ244" s="45"/>
      <c r="CR244" s="45"/>
      <c r="CS244" s="45"/>
      <c r="CT244" s="45"/>
      <c r="CU244" s="45"/>
      <c r="CV244" s="45"/>
      <c r="CW244" s="45"/>
      <c r="CX244" s="45"/>
      <c r="CY244" s="45"/>
      <c r="CZ244" s="45"/>
      <c r="DA244" s="45"/>
      <c r="DB244" s="45"/>
      <c r="DC244" s="45"/>
      <c r="DD244" s="45"/>
      <c r="DE244" s="45"/>
      <c r="DF244" s="45"/>
      <c r="DG244" s="45"/>
      <c r="DH244" s="45"/>
      <c r="DI244" s="45"/>
      <c r="DJ244" s="45"/>
    </row>
    <row r="245" spans="1:114" s="46" customFormat="1" ht="27.75" customHeight="1">
      <c r="A245" s="255"/>
      <c r="B245" s="257"/>
      <c r="C245" s="152" t="s">
        <v>122</v>
      </c>
      <c r="D245" s="82">
        <v>980</v>
      </c>
      <c r="E245" s="16" t="s">
        <v>108</v>
      </c>
      <c r="F245" s="6"/>
      <c r="G245" s="41"/>
      <c r="H245" s="57"/>
      <c r="I245" s="14"/>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c r="BN245" s="45"/>
      <c r="BO245" s="45"/>
      <c r="BP245" s="45"/>
      <c r="BQ245" s="45"/>
      <c r="BR245" s="45"/>
      <c r="BS245" s="45"/>
      <c r="BT245" s="45"/>
      <c r="BU245" s="45"/>
      <c r="BV245" s="45"/>
      <c r="BW245" s="45"/>
      <c r="BX245" s="45"/>
      <c r="BY245" s="45"/>
      <c r="BZ245" s="45"/>
      <c r="CA245" s="45"/>
      <c r="CB245" s="45"/>
      <c r="CC245" s="45"/>
      <c r="CD245" s="45"/>
      <c r="CE245" s="45"/>
      <c r="CF245" s="45"/>
      <c r="CG245" s="45"/>
      <c r="CH245" s="45"/>
      <c r="CI245" s="45"/>
      <c r="CJ245" s="45"/>
      <c r="CK245" s="45"/>
      <c r="CL245" s="45"/>
      <c r="CM245" s="45"/>
      <c r="CN245" s="45"/>
      <c r="CO245" s="45"/>
      <c r="CP245" s="45"/>
      <c r="CQ245" s="45"/>
      <c r="CR245" s="45"/>
      <c r="CS245" s="45"/>
      <c r="CT245" s="45"/>
      <c r="CU245" s="45"/>
      <c r="CV245" s="45"/>
      <c r="CW245" s="45"/>
      <c r="CX245" s="45"/>
      <c r="CY245" s="45"/>
      <c r="CZ245" s="45"/>
      <c r="DA245" s="45"/>
      <c r="DB245" s="45"/>
      <c r="DC245" s="45"/>
      <c r="DD245" s="45"/>
      <c r="DE245" s="45"/>
      <c r="DF245" s="45"/>
      <c r="DG245" s="45"/>
      <c r="DH245" s="45"/>
      <c r="DI245" s="45"/>
      <c r="DJ245" s="45"/>
    </row>
    <row r="246" spans="1:114" s="46" customFormat="1" ht="23.25" customHeight="1">
      <c r="A246" s="153" t="s">
        <v>15</v>
      </c>
      <c r="B246" s="22">
        <f>SUM(B244)</f>
        <v>0</v>
      </c>
      <c r="C246" s="2"/>
      <c r="D246" s="23">
        <f>SUM(D244:D245)</f>
        <v>6187.709999999999</v>
      </c>
      <c r="E246" s="22"/>
      <c r="F246" s="9"/>
      <c r="G246" s="41"/>
      <c r="H246" s="8">
        <f>H245</f>
        <v>0</v>
      </c>
      <c r="I246" s="8"/>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c r="BN246" s="45"/>
      <c r="BO246" s="45"/>
      <c r="BP246" s="45"/>
      <c r="BQ246" s="45"/>
      <c r="BR246" s="45"/>
      <c r="BS246" s="45"/>
      <c r="BT246" s="45"/>
      <c r="BU246" s="45"/>
      <c r="BV246" s="45"/>
      <c r="BW246" s="45"/>
      <c r="BX246" s="45"/>
      <c r="BY246" s="45"/>
      <c r="BZ246" s="45"/>
      <c r="CA246" s="45"/>
      <c r="CB246" s="45"/>
      <c r="CC246" s="45"/>
      <c r="CD246" s="45"/>
      <c r="CE246" s="45"/>
      <c r="CF246" s="45"/>
      <c r="CG246" s="45"/>
      <c r="CH246" s="45"/>
      <c r="CI246" s="45"/>
      <c r="CJ246" s="45"/>
      <c r="CK246" s="45"/>
      <c r="CL246" s="45"/>
      <c r="CM246" s="45"/>
      <c r="CN246" s="45"/>
      <c r="CO246" s="45"/>
      <c r="CP246" s="45"/>
      <c r="CQ246" s="45"/>
      <c r="CR246" s="45"/>
      <c r="CS246" s="45"/>
      <c r="CT246" s="45"/>
      <c r="CU246" s="45"/>
      <c r="CV246" s="45"/>
      <c r="CW246" s="45"/>
      <c r="CX246" s="45"/>
      <c r="CY246" s="45"/>
      <c r="CZ246" s="45"/>
      <c r="DA246" s="45"/>
      <c r="DB246" s="45"/>
      <c r="DC246" s="45"/>
      <c r="DD246" s="45"/>
      <c r="DE246" s="45"/>
      <c r="DF246" s="45"/>
      <c r="DG246" s="45"/>
      <c r="DH246" s="45"/>
      <c r="DI246" s="45"/>
      <c r="DJ246" s="45"/>
    </row>
    <row r="247" spans="1:114" s="46" customFormat="1" ht="47.25">
      <c r="A247" s="254" t="s">
        <v>48</v>
      </c>
      <c r="B247" s="261">
        <v>15000</v>
      </c>
      <c r="C247" s="152" t="s">
        <v>233</v>
      </c>
      <c r="D247" s="59">
        <f>51022.63</f>
        <v>51022.63</v>
      </c>
      <c r="E247" s="105" t="s">
        <v>87</v>
      </c>
      <c r="F247" s="6"/>
      <c r="G247" s="41"/>
      <c r="H247" s="57"/>
      <c r="I247" s="14"/>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c r="BN247" s="45"/>
      <c r="BO247" s="45"/>
      <c r="BP247" s="45"/>
      <c r="BQ247" s="45"/>
      <c r="BR247" s="45"/>
      <c r="BS247" s="45"/>
      <c r="BT247" s="45"/>
      <c r="BU247" s="45"/>
      <c r="BV247" s="45"/>
      <c r="BW247" s="45"/>
      <c r="BX247" s="45"/>
      <c r="BY247" s="45"/>
      <c r="BZ247" s="45"/>
      <c r="CA247" s="45"/>
      <c r="CB247" s="45"/>
      <c r="CC247" s="45"/>
      <c r="CD247" s="45"/>
      <c r="CE247" s="45"/>
      <c r="CF247" s="45"/>
      <c r="CG247" s="45"/>
      <c r="CH247" s="45"/>
      <c r="CI247" s="45"/>
      <c r="CJ247" s="45"/>
      <c r="CK247" s="45"/>
      <c r="CL247" s="45"/>
      <c r="CM247" s="45"/>
      <c r="CN247" s="45"/>
      <c r="CO247" s="45"/>
      <c r="CP247" s="45"/>
      <c r="CQ247" s="45"/>
      <c r="CR247" s="45"/>
      <c r="CS247" s="45"/>
      <c r="CT247" s="45"/>
      <c r="CU247" s="45"/>
      <c r="CV247" s="45"/>
      <c r="CW247" s="45"/>
      <c r="CX247" s="45"/>
      <c r="CY247" s="45"/>
      <c r="CZ247" s="45"/>
      <c r="DA247" s="45"/>
      <c r="DB247" s="45"/>
      <c r="DC247" s="45"/>
      <c r="DD247" s="45"/>
      <c r="DE247" s="45"/>
      <c r="DF247" s="45"/>
      <c r="DG247" s="45"/>
      <c r="DH247" s="45"/>
      <c r="DI247" s="45"/>
      <c r="DJ247" s="45"/>
    </row>
    <row r="248" spans="1:114" s="46" customFormat="1" ht="19.5" customHeight="1">
      <c r="A248" s="260"/>
      <c r="B248" s="262"/>
      <c r="C248" s="116" t="s">
        <v>261</v>
      </c>
      <c r="D248" s="59"/>
      <c r="E248" s="74"/>
      <c r="F248" s="6"/>
      <c r="G248" s="41"/>
      <c r="H248" s="8"/>
      <c r="I248" s="8"/>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c r="BN248" s="45"/>
      <c r="BO248" s="45"/>
      <c r="BP248" s="45"/>
      <c r="BQ248" s="45"/>
      <c r="BR248" s="45"/>
      <c r="BS248" s="45"/>
      <c r="BT248" s="45"/>
      <c r="BU248" s="45"/>
      <c r="BV248" s="45"/>
      <c r="BW248" s="45"/>
      <c r="BX248" s="45"/>
      <c r="BY248" s="45"/>
      <c r="BZ248" s="45"/>
      <c r="CA248" s="45"/>
      <c r="CB248" s="45"/>
      <c r="CC248" s="45"/>
      <c r="CD248" s="45"/>
      <c r="CE248" s="45"/>
      <c r="CF248" s="45"/>
      <c r="CG248" s="45"/>
      <c r="CH248" s="45"/>
      <c r="CI248" s="45"/>
      <c r="CJ248" s="45"/>
      <c r="CK248" s="45"/>
      <c r="CL248" s="45"/>
      <c r="CM248" s="45"/>
      <c r="CN248" s="45"/>
      <c r="CO248" s="45"/>
      <c r="CP248" s="45"/>
      <c r="CQ248" s="45"/>
      <c r="CR248" s="45"/>
      <c r="CS248" s="45"/>
      <c r="CT248" s="45"/>
      <c r="CU248" s="45"/>
      <c r="CV248" s="45"/>
      <c r="CW248" s="45"/>
      <c r="CX248" s="45"/>
      <c r="CY248" s="45"/>
      <c r="CZ248" s="45"/>
      <c r="DA248" s="45"/>
      <c r="DB248" s="45"/>
      <c r="DC248" s="45"/>
      <c r="DD248" s="45"/>
      <c r="DE248" s="45"/>
      <c r="DF248" s="45"/>
      <c r="DG248" s="45"/>
      <c r="DH248" s="45"/>
      <c r="DI248" s="45"/>
      <c r="DJ248" s="45"/>
    </row>
    <row r="249" spans="1:114" s="46" customFormat="1" ht="24" customHeight="1">
      <c r="A249" s="169" t="s">
        <v>15</v>
      </c>
      <c r="B249" s="22">
        <f>B247</f>
        <v>15000</v>
      </c>
      <c r="C249" s="116"/>
      <c r="D249" s="22">
        <f>D247+D248</f>
        <v>51022.63</v>
      </c>
      <c r="E249" s="85"/>
      <c r="F249" s="6"/>
      <c r="G249" s="41"/>
      <c r="H249" s="8">
        <f>H247+H248</f>
        <v>0</v>
      </c>
      <c r="I249" s="8"/>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c r="CA249" s="45"/>
      <c r="CB249" s="45"/>
      <c r="CC249" s="45"/>
      <c r="CD249" s="45"/>
      <c r="CE249" s="45"/>
      <c r="CF249" s="45"/>
      <c r="CG249" s="45"/>
      <c r="CH249" s="45"/>
      <c r="CI249" s="45"/>
      <c r="CJ249" s="45"/>
      <c r="CK249" s="45"/>
      <c r="CL249" s="45"/>
      <c r="CM249" s="45"/>
      <c r="CN249" s="45"/>
      <c r="CO249" s="45"/>
      <c r="CP249" s="45"/>
      <c r="CQ249" s="45"/>
      <c r="CR249" s="45"/>
      <c r="CS249" s="45"/>
      <c r="CT249" s="45"/>
      <c r="CU249" s="45"/>
      <c r="CV249" s="45"/>
      <c r="CW249" s="45"/>
      <c r="CX249" s="45"/>
      <c r="CY249" s="45"/>
      <c r="CZ249" s="45"/>
      <c r="DA249" s="45"/>
      <c r="DB249" s="45"/>
      <c r="DC249" s="45"/>
      <c r="DD249" s="45"/>
      <c r="DE249" s="45"/>
      <c r="DF249" s="45"/>
      <c r="DG249" s="45"/>
      <c r="DH249" s="45"/>
      <c r="DI249" s="45"/>
      <c r="DJ249" s="45"/>
    </row>
    <row r="250" spans="1:114" s="46" customFormat="1" ht="39" customHeight="1">
      <c r="A250" s="78" t="s">
        <v>51</v>
      </c>
      <c r="B250" s="59"/>
      <c r="C250" s="152" t="s">
        <v>211</v>
      </c>
      <c r="D250" s="82">
        <v>24.3</v>
      </c>
      <c r="E250" s="105" t="s">
        <v>87</v>
      </c>
      <c r="F250" s="6"/>
      <c r="G250" s="41"/>
      <c r="H250" s="5"/>
      <c r="I250" s="14"/>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c r="BR250" s="45"/>
      <c r="BS250" s="45"/>
      <c r="BT250" s="45"/>
      <c r="BU250" s="45"/>
      <c r="BV250" s="45"/>
      <c r="BW250" s="45"/>
      <c r="BX250" s="45"/>
      <c r="BY250" s="45"/>
      <c r="BZ250" s="45"/>
      <c r="CA250" s="45"/>
      <c r="CB250" s="45"/>
      <c r="CC250" s="45"/>
      <c r="CD250" s="45"/>
      <c r="CE250" s="45"/>
      <c r="CF250" s="45"/>
      <c r="CG250" s="45"/>
      <c r="CH250" s="45"/>
      <c r="CI250" s="45"/>
      <c r="CJ250" s="45"/>
      <c r="CK250" s="45"/>
      <c r="CL250" s="45"/>
      <c r="CM250" s="45"/>
      <c r="CN250" s="45"/>
      <c r="CO250" s="45"/>
      <c r="CP250" s="45"/>
      <c r="CQ250" s="45"/>
      <c r="CR250" s="45"/>
      <c r="CS250" s="45"/>
      <c r="CT250" s="45"/>
      <c r="CU250" s="45"/>
      <c r="CV250" s="45"/>
      <c r="CW250" s="45"/>
      <c r="CX250" s="45"/>
      <c r="CY250" s="45"/>
      <c r="CZ250" s="45"/>
      <c r="DA250" s="45"/>
      <c r="DB250" s="45"/>
      <c r="DC250" s="45"/>
      <c r="DD250" s="45"/>
      <c r="DE250" s="45"/>
      <c r="DF250" s="45"/>
      <c r="DG250" s="45"/>
      <c r="DH250" s="45"/>
      <c r="DI250" s="45"/>
      <c r="DJ250" s="45"/>
    </row>
    <row r="251" spans="1:114" s="46" customFormat="1" ht="24.75" customHeight="1" thickBot="1">
      <c r="A251" s="153" t="s">
        <v>15</v>
      </c>
      <c r="B251" s="39">
        <f>B250</f>
        <v>0</v>
      </c>
      <c r="C251" s="2"/>
      <c r="D251" s="89">
        <f>D250</f>
        <v>24.3</v>
      </c>
      <c r="E251" s="22"/>
      <c r="F251" s="9"/>
      <c r="G251" s="41"/>
      <c r="H251" s="50">
        <f>H250</f>
        <v>0</v>
      </c>
      <c r="I251" s="8"/>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c r="BN251" s="45"/>
      <c r="BO251" s="45"/>
      <c r="BP251" s="45"/>
      <c r="BQ251" s="45"/>
      <c r="BR251" s="45"/>
      <c r="BS251" s="45"/>
      <c r="BT251" s="45"/>
      <c r="BU251" s="45"/>
      <c r="BV251" s="45"/>
      <c r="BW251" s="45"/>
      <c r="BX251" s="45"/>
      <c r="BY251" s="45"/>
      <c r="BZ251" s="45"/>
      <c r="CA251" s="45"/>
      <c r="CB251" s="45"/>
      <c r="CC251" s="45"/>
      <c r="CD251" s="45"/>
      <c r="CE251" s="45"/>
      <c r="CF251" s="45"/>
      <c r="CG251" s="45"/>
      <c r="CH251" s="45"/>
      <c r="CI251" s="45"/>
      <c r="CJ251" s="45"/>
      <c r="CK251" s="45"/>
      <c r="CL251" s="45"/>
      <c r="CM251" s="45"/>
      <c r="CN251" s="45"/>
      <c r="CO251" s="45"/>
      <c r="CP251" s="45"/>
      <c r="CQ251" s="45"/>
      <c r="CR251" s="45"/>
      <c r="CS251" s="45"/>
      <c r="CT251" s="45"/>
      <c r="CU251" s="45"/>
      <c r="CV251" s="45"/>
      <c r="CW251" s="45"/>
      <c r="CX251" s="45"/>
      <c r="CY251" s="45"/>
      <c r="CZ251" s="45"/>
      <c r="DA251" s="45"/>
      <c r="DB251" s="45"/>
      <c r="DC251" s="45"/>
      <c r="DD251" s="45"/>
      <c r="DE251" s="45"/>
      <c r="DF251" s="45"/>
      <c r="DG251" s="45"/>
      <c r="DH251" s="45"/>
      <c r="DI251" s="45"/>
      <c r="DJ251" s="45"/>
    </row>
    <row r="252" spans="1:114" s="67" customFormat="1" ht="60.75" customHeight="1" thickBot="1">
      <c r="A252" s="163" t="s">
        <v>57</v>
      </c>
      <c r="B252" s="22">
        <f>SUM(B241+B94+B100+B104+B110+B123+B141+B144+B153+B164+B172+B249+B179+B182+B186+B193+B200+B204+B214+B218+B224+B232+B235+B238+B243+B246+B251)</f>
        <v>61155.21</v>
      </c>
      <c r="C252" s="22"/>
      <c r="D252" s="101">
        <f>SUM(D241+D94+D100+D249+D104+D110+D123+D141+D144+D153+D164+D172+D179+D182+D186+D193+D200+D204+D214+D218+D224+D232+D235+D238+D243+D246+D251+D228)</f>
        <v>13084178.33</v>
      </c>
      <c r="E252" s="22">
        <f>SUM(E241+E79+E82+E94+E100+E249+E104+E110+E123+E141+E144+E153+E164+E172+E179+E182+E186+E193+E200+E204+E214+E218+E224+E232+E235+E238+E243+E246+E251)</f>
        <v>0</v>
      </c>
      <c r="F252" s="22">
        <f>SUM(F241+F79+F82+F94+F100+F249+F104+F110+F123+F141+F144+F153+F164+F172+F179+F182+F186+F193+F200+F204+F214+F218+F224+F232+F235+F238+F243+F246+F251)</f>
        <v>0</v>
      </c>
      <c r="G252" s="22">
        <f>SUM(G241+G79+G82+G94+G100+G249+G104+G110+G123+G141+G144+G153+G164+G172+G179+G182+G186+G193+G200+G204+G214+G218+G224+G232+G235+G238+G243+G246+G251)</f>
        <v>0</v>
      </c>
      <c r="H252" s="22">
        <f>SUM(H241+H79+H82+H94+H100+H249+H104+H110+H123+H141+H144+H153+H164+H172+H179+H182+H186+H193+H200+H204+H214+H218+H224+H232+H235+H238+H243+H246+H251)+H228</f>
        <v>0</v>
      </c>
      <c r="I252" s="22">
        <f>SUM(I241+I79+I82+I94+I100+I249+I104+I110+I123+I141+I144+I153+I164+I172+I179+I182+I186+I193+I200+I204+I214+I218+I224+I232+I235+I238+I243+I246+I251)</f>
        <v>0</v>
      </c>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c r="CG252" s="66"/>
      <c r="CH252" s="66"/>
      <c r="CI252" s="66"/>
      <c r="CJ252" s="66"/>
      <c r="CK252" s="66"/>
      <c r="CL252" s="66"/>
      <c r="CM252" s="66"/>
      <c r="CN252" s="66"/>
      <c r="CO252" s="66"/>
      <c r="CP252" s="66"/>
      <c r="CQ252" s="66"/>
      <c r="CR252" s="66"/>
      <c r="CS252" s="66"/>
      <c r="CT252" s="66"/>
      <c r="CU252" s="66"/>
      <c r="CV252" s="66"/>
      <c r="CW252" s="66"/>
      <c r="CX252" s="66"/>
      <c r="CY252" s="66"/>
      <c r="CZ252" s="66"/>
      <c r="DA252" s="66"/>
      <c r="DB252" s="66"/>
      <c r="DC252" s="66"/>
      <c r="DD252" s="66"/>
      <c r="DE252" s="66"/>
      <c r="DF252" s="66"/>
      <c r="DG252" s="66"/>
      <c r="DH252" s="66"/>
      <c r="DI252" s="66"/>
      <c r="DJ252" s="66"/>
    </row>
    <row r="253" spans="1:114" s="67" customFormat="1" ht="79.5" customHeight="1" thickBot="1">
      <c r="A253" s="153" t="s">
        <v>58</v>
      </c>
      <c r="B253" s="23">
        <f>SUM(B83+B252)</f>
        <v>133653.21</v>
      </c>
      <c r="C253" s="23"/>
      <c r="D253" s="23">
        <f aca="true" t="shared" si="0" ref="D253:I253">SUM(D83+D252)</f>
        <v>13956142.29</v>
      </c>
      <c r="E253" s="23">
        <f t="shared" si="0"/>
        <v>0</v>
      </c>
      <c r="F253" s="23">
        <f t="shared" si="0"/>
        <v>0</v>
      </c>
      <c r="G253" s="23">
        <f t="shared" si="0"/>
        <v>0</v>
      </c>
      <c r="H253" s="23">
        <f t="shared" si="0"/>
        <v>0</v>
      </c>
      <c r="I253" s="23">
        <f t="shared" si="0"/>
        <v>0</v>
      </c>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c r="BV253" s="66"/>
      <c r="BW253" s="66"/>
      <c r="BX253" s="66"/>
      <c r="BY253" s="66"/>
      <c r="BZ253" s="66"/>
      <c r="CA253" s="66"/>
      <c r="CB253" s="66"/>
      <c r="CC253" s="66"/>
      <c r="CD253" s="66"/>
      <c r="CE253" s="66"/>
      <c r="CF253" s="66"/>
      <c r="CG253" s="66"/>
      <c r="CH253" s="66"/>
      <c r="CI253" s="66"/>
      <c r="CJ253" s="66"/>
      <c r="CK253" s="66"/>
      <c r="CL253" s="66"/>
      <c r="CM253" s="66"/>
      <c r="CN253" s="66"/>
      <c r="CO253" s="66"/>
      <c r="CP253" s="66"/>
      <c r="CQ253" s="66"/>
      <c r="CR253" s="66"/>
      <c r="CS253" s="66"/>
      <c r="CT253" s="66"/>
      <c r="CU253" s="66"/>
      <c r="CV253" s="66"/>
      <c r="CW253" s="66"/>
      <c r="CX253" s="66"/>
      <c r="CY253" s="66"/>
      <c r="CZ253" s="66"/>
      <c r="DA253" s="66"/>
      <c r="DB253" s="66"/>
      <c r="DC253" s="66"/>
      <c r="DD253" s="66"/>
      <c r="DE253" s="66"/>
      <c r="DF253" s="66"/>
      <c r="DG253" s="66"/>
      <c r="DH253" s="66"/>
      <c r="DI253" s="66"/>
      <c r="DJ253" s="66"/>
    </row>
    <row r="254" spans="1:114" s="70" customFormat="1" ht="9.75" customHeight="1" hidden="1">
      <c r="A254" s="68"/>
      <c r="B254" s="68"/>
      <c r="C254" s="68"/>
      <c r="D254" s="90"/>
      <c r="E254" s="71"/>
      <c r="F254" s="69"/>
      <c r="G254" s="69"/>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c r="CJ254" s="34"/>
      <c r="CK254" s="34"/>
      <c r="CL254" s="34"/>
      <c r="CM254" s="34"/>
      <c r="CN254" s="34"/>
      <c r="CO254" s="34"/>
      <c r="CP254" s="34"/>
      <c r="CQ254" s="34"/>
      <c r="CR254" s="34"/>
      <c r="CS254" s="34"/>
      <c r="CT254" s="34"/>
      <c r="CU254" s="34"/>
      <c r="CV254" s="34"/>
      <c r="CW254" s="34"/>
      <c r="CX254" s="34"/>
      <c r="CY254" s="34"/>
      <c r="CZ254" s="34"/>
      <c r="DA254" s="34"/>
      <c r="DB254" s="34"/>
      <c r="DC254" s="34"/>
      <c r="DD254" s="34"/>
      <c r="DE254" s="34"/>
      <c r="DF254" s="34"/>
      <c r="DG254" s="34"/>
      <c r="DH254" s="34"/>
      <c r="DI254" s="34"/>
      <c r="DJ254" s="34"/>
    </row>
    <row r="255" spans="1:114" s="70" customFormat="1" ht="34.5" customHeight="1">
      <c r="A255" s="71" t="s">
        <v>59</v>
      </c>
      <c r="B255" s="71"/>
      <c r="C255" s="71"/>
      <c r="D255" s="90"/>
      <c r="E255" s="71" t="s">
        <v>24</v>
      </c>
      <c r="F255" s="69"/>
      <c r="G255" s="25" t="s">
        <v>61</v>
      </c>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c r="BZ255" s="34"/>
      <c r="CA255" s="34"/>
      <c r="CB255" s="34"/>
      <c r="CC255" s="34"/>
      <c r="CD255" s="34"/>
      <c r="CE255" s="34"/>
      <c r="CF255" s="34"/>
      <c r="CG255" s="34"/>
      <c r="CH255" s="34"/>
      <c r="CI255" s="34"/>
      <c r="CJ255" s="34"/>
      <c r="CK255" s="34"/>
      <c r="CL255" s="34"/>
      <c r="CM255" s="34"/>
      <c r="CN255" s="34"/>
      <c r="CO255" s="34"/>
      <c r="CP255" s="34"/>
      <c r="CQ255" s="34"/>
      <c r="CR255" s="34"/>
      <c r="CS255" s="34"/>
      <c r="CT255" s="34"/>
      <c r="CU255" s="34"/>
      <c r="CV255" s="34"/>
      <c r="CW255" s="34"/>
      <c r="CX255" s="34"/>
      <c r="CY255" s="34"/>
      <c r="CZ255" s="34"/>
      <c r="DA255" s="34"/>
      <c r="DB255" s="34"/>
      <c r="DC255" s="34"/>
      <c r="DD255" s="34"/>
      <c r="DE255" s="34"/>
      <c r="DF255" s="34"/>
      <c r="DG255" s="34"/>
      <c r="DH255" s="34"/>
      <c r="DI255" s="34"/>
      <c r="DJ255" s="34"/>
    </row>
    <row r="256" spans="1:9" ht="20.25" customHeight="1">
      <c r="A256" s="68" t="s">
        <v>25</v>
      </c>
      <c r="B256" s="68"/>
      <c r="C256" s="26"/>
      <c r="D256" s="91"/>
      <c r="E256" s="95"/>
      <c r="F256" s="24"/>
      <c r="G256" s="24" t="s">
        <v>84</v>
      </c>
      <c r="H256" s="13"/>
      <c r="I256" s="13"/>
    </row>
    <row r="257" spans="1:10" ht="26.25" customHeight="1">
      <c r="A257" s="26" t="s">
        <v>62</v>
      </c>
      <c r="B257" s="26"/>
      <c r="C257" s="26"/>
      <c r="D257" s="90"/>
      <c r="E257" s="93"/>
      <c r="F257" s="72"/>
      <c r="G257" s="72"/>
      <c r="H257" s="13"/>
      <c r="I257" s="47"/>
      <c r="J257" s="13" t="s">
        <v>60</v>
      </c>
    </row>
    <row r="258" spans="1:9" ht="20.25" customHeight="1">
      <c r="A258" s="26"/>
      <c r="B258" s="26"/>
      <c r="C258" s="179"/>
      <c r="D258" s="90"/>
      <c r="E258" s="93"/>
      <c r="F258" s="72"/>
      <c r="G258" s="72"/>
      <c r="H258" s="13"/>
      <c r="I258" s="13"/>
    </row>
    <row r="259" spans="1:9" ht="12" customHeight="1">
      <c r="A259" s="27"/>
      <c r="B259" s="27"/>
      <c r="C259" s="27"/>
      <c r="D259" s="92"/>
      <c r="E259" s="27"/>
      <c r="F259" s="13"/>
      <c r="G259" s="13"/>
      <c r="H259" s="13"/>
      <c r="I259" s="13"/>
    </row>
    <row r="260" spans="1:9" ht="15.75">
      <c r="A260" s="27"/>
      <c r="B260" s="27"/>
      <c r="C260" s="27"/>
      <c r="D260" s="92"/>
      <c r="E260" s="27"/>
      <c r="F260" s="13"/>
      <c r="G260" s="13"/>
      <c r="H260" s="13"/>
      <c r="I260" s="13"/>
    </row>
    <row r="261" spans="1:9" ht="15.75">
      <c r="A261" s="27"/>
      <c r="B261" s="27"/>
      <c r="C261" s="27"/>
      <c r="D261" s="92"/>
      <c r="E261" s="27"/>
      <c r="F261" s="13"/>
      <c r="G261" s="13"/>
      <c r="H261" s="13"/>
      <c r="I261" s="13"/>
    </row>
  </sheetData>
  <sheetProtection/>
  <mergeCells count="140">
    <mergeCell ref="A239:A240"/>
    <mergeCell ref="B239:B240"/>
    <mergeCell ref="A244:A245"/>
    <mergeCell ref="B244:B245"/>
    <mergeCell ref="A247:A248"/>
    <mergeCell ref="B247:B248"/>
    <mergeCell ref="A229:A231"/>
    <mergeCell ref="B229:B231"/>
    <mergeCell ref="A233:A234"/>
    <mergeCell ref="B233:B234"/>
    <mergeCell ref="A236:A237"/>
    <mergeCell ref="B236:B237"/>
    <mergeCell ref="A219:A223"/>
    <mergeCell ref="B219:B223"/>
    <mergeCell ref="F219:F223"/>
    <mergeCell ref="G219:G223"/>
    <mergeCell ref="A225:A227"/>
    <mergeCell ref="B225:B227"/>
    <mergeCell ref="A205:A213"/>
    <mergeCell ref="B205:B213"/>
    <mergeCell ref="F207:F213"/>
    <mergeCell ref="G207:G213"/>
    <mergeCell ref="A215:A217"/>
    <mergeCell ref="B215:B217"/>
    <mergeCell ref="F215:F217"/>
    <mergeCell ref="G215:G217"/>
    <mergeCell ref="A194:A199"/>
    <mergeCell ref="B194:B199"/>
    <mergeCell ref="F197:F199"/>
    <mergeCell ref="G197:G199"/>
    <mergeCell ref="A201:A203"/>
    <mergeCell ref="B201:B203"/>
    <mergeCell ref="C201:C202"/>
    <mergeCell ref="F201:F203"/>
    <mergeCell ref="G201:G203"/>
    <mergeCell ref="A183:A185"/>
    <mergeCell ref="B183:B185"/>
    <mergeCell ref="F183:F185"/>
    <mergeCell ref="G183:G185"/>
    <mergeCell ref="A187:A192"/>
    <mergeCell ref="B187:B192"/>
    <mergeCell ref="F187:F192"/>
    <mergeCell ref="G187:G192"/>
    <mergeCell ref="A173:A178"/>
    <mergeCell ref="B173:B178"/>
    <mergeCell ref="F173:F178"/>
    <mergeCell ref="G173:G178"/>
    <mergeCell ref="A180:A181"/>
    <mergeCell ref="B180:B181"/>
    <mergeCell ref="A154:A163"/>
    <mergeCell ref="B154:B163"/>
    <mergeCell ref="F154:F163"/>
    <mergeCell ref="G154:G163"/>
    <mergeCell ref="A165:A171"/>
    <mergeCell ref="B165:B171"/>
    <mergeCell ref="F165:F171"/>
    <mergeCell ref="G165:G171"/>
    <mergeCell ref="A142:A143"/>
    <mergeCell ref="B142:B143"/>
    <mergeCell ref="F142:F143"/>
    <mergeCell ref="G142:G143"/>
    <mergeCell ref="A145:A152"/>
    <mergeCell ref="B145:B152"/>
    <mergeCell ref="F145:F152"/>
    <mergeCell ref="G145:G152"/>
    <mergeCell ref="A111:A122"/>
    <mergeCell ref="B111:B122"/>
    <mergeCell ref="F117:F122"/>
    <mergeCell ref="G117:G122"/>
    <mergeCell ref="A134:A140"/>
    <mergeCell ref="B134:B140"/>
    <mergeCell ref="F137:F140"/>
    <mergeCell ref="G137:G140"/>
    <mergeCell ref="A101:A103"/>
    <mergeCell ref="B101:B103"/>
    <mergeCell ref="F101:F103"/>
    <mergeCell ref="G101:G103"/>
    <mergeCell ref="A105:A109"/>
    <mergeCell ref="B105:B109"/>
    <mergeCell ref="F105:F109"/>
    <mergeCell ref="G105:G109"/>
    <mergeCell ref="A84:A93"/>
    <mergeCell ref="B84:B93"/>
    <mergeCell ref="A95:A99"/>
    <mergeCell ref="B95:B99"/>
    <mergeCell ref="F95:F99"/>
    <mergeCell ref="G95:G99"/>
    <mergeCell ref="A72:A74"/>
    <mergeCell ref="B72:B74"/>
    <mergeCell ref="A76:A78"/>
    <mergeCell ref="B76:B78"/>
    <mergeCell ref="A80:A81"/>
    <mergeCell ref="B80:B81"/>
    <mergeCell ref="A63:A64"/>
    <mergeCell ref="B63:B64"/>
    <mergeCell ref="A66:A67"/>
    <mergeCell ref="B66:B67"/>
    <mergeCell ref="A69:A70"/>
    <mergeCell ref="B69:B70"/>
    <mergeCell ref="A51:A52"/>
    <mergeCell ref="B51:B52"/>
    <mergeCell ref="A54:A58"/>
    <mergeCell ref="B54:B58"/>
    <mergeCell ref="A60:A61"/>
    <mergeCell ref="B60:B61"/>
    <mergeCell ref="A40:A41"/>
    <mergeCell ref="B40:B41"/>
    <mergeCell ref="A43:A46"/>
    <mergeCell ref="B43:B46"/>
    <mergeCell ref="A48:A49"/>
    <mergeCell ref="B48:B49"/>
    <mergeCell ref="F33:F34"/>
    <mergeCell ref="G33:G34"/>
    <mergeCell ref="H33:H34"/>
    <mergeCell ref="I33:I34"/>
    <mergeCell ref="A37:A38"/>
    <mergeCell ref="B37:B38"/>
    <mergeCell ref="A26:A27"/>
    <mergeCell ref="B26:B27"/>
    <mergeCell ref="A29:A31"/>
    <mergeCell ref="B29:B31"/>
    <mergeCell ref="A33:A35"/>
    <mergeCell ref="B33:B35"/>
    <mergeCell ref="H9:I10"/>
    <mergeCell ref="A12:A14"/>
    <mergeCell ref="B12:B14"/>
    <mergeCell ref="A16:A19"/>
    <mergeCell ref="B16:B19"/>
    <mergeCell ref="A21:A25"/>
    <mergeCell ref="B21:B24"/>
    <mergeCell ref="G4:I4"/>
    <mergeCell ref="A5:I5"/>
    <mergeCell ref="A6:I6"/>
    <mergeCell ref="A7:I7"/>
    <mergeCell ref="A8:A11"/>
    <mergeCell ref="B8:E8"/>
    <mergeCell ref="F8:I8"/>
    <mergeCell ref="B9:C10"/>
    <mergeCell ref="D9:E10"/>
    <mergeCell ref="F9:G10"/>
  </mergeCells>
  <printOptions/>
  <pageMargins left="0.31496062992125984" right="0.31496062992125984" top="0.35433070866141736" bottom="0.35433070866141736" header="0.31496062992125984" footer="0.31496062992125984"/>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2021-07-19T05:30:01Z</cp:lastPrinted>
  <dcterms:created xsi:type="dcterms:W3CDTF">2006-09-28T05:33:49Z</dcterms:created>
  <dcterms:modified xsi:type="dcterms:W3CDTF">2024-04-11T12:48:35Z</dcterms:modified>
  <cp:category/>
  <cp:version/>
  <cp:contentType/>
  <cp:contentStatus/>
</cp:coreProperties>
</file>