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10" tabRatio="707" activeTab="0"/>
  </bookViews>
  <sheets>
    <sheet name="грудень 2022" sheetId="1" r:id="rId1"/>
    <sheet name="Листопад 2022" sheetId="2" r:id="rId2"/>
    <sheet name="Жовтень 2022+М.О. 17" sheetId="3" r:id="rId3"/>
    <sheet name="Жовтень 2022" sheetId="4" r:id="rId4"/>
    <sheet name="Вересень22" sheetId="5" r:id="rId5"/>
    <sheet name="Серпень 2022" sheetId="6" r:id="rId6"/>
    <sheet name="липень 22" sheetId="7" r:id="rId7"/>
    <sheet name="червень22" sheetId="8" r:id="rId8"/>
    <sheet name="Липень19" sheetId="9" r:id="rId9"/>
    <sheet name="06.2019" sheetId="10" r:id="rId10"/>
    <sheet name="уоін 05.2019" sheetId="11" r:id="rId11"/>
    <sheet name="уоін 12" sheetId="12" r:id="rId12"/>
    <sheet name="уоін 11" sheetId="13" r:id="rId13"/>
    <sheet name="уоін 10" sheetId="14" r:id="rId14"/>
    <sheet name="уоін 09" sheetId="15" r:id="rId15"/>
    <sheet name="уоін 08" sheetId="16" r:id="rId16"/>
    <sheet name="уоін 07" sheetId="17" r:id="rId17"/>
    <sheet name="березень 2020" sheetId="18" r:id="rId18"/>
    <sheet name="січень 2020" sheetId="19" r:id="rId19"/>
    <sheet name="Лютий 2020" sheetId="20" r:id="rId20"/>
    <sheet name="квітень2020" sheetId="21" r:id="rId21"/>
    <sheet name="квітень 2022" sheetId="22" r:id="rId22"/>
    <sheet name="травень 2022" sheetId="23" r:id="rId23"/>
  </sheets>
  <definedNames>
    <definedName name="_xlnm.Print_Area" localSheetId="10">'уоін 05.2019'!$A$1:$I$133</definedName>
    <definedName name="_xlnm.Print_Area" localSheetId="16">'уоін 07'!$A$1:$I$132</definedName>
    <definedName name="_xlnm.Print_Area" localSheetId="15">'уоін 08'!$A$1:$I$132</definedName>
    <definedName name="_xlnm.Print_Area" localSheetId="14">'уоін 09'!$A$1:$I$138</definedName>
    <definedName name="_xlnm.Print_Area" localSheetId="13">'уоін 10'!$A$1:$I$139</definedName>
    <definedName name="_xlnm.Print_Area" localSheetId="12">'уоін 11'!$A$1:$I$158</definedName>
    <definedName name="_xlnm.Print_Area" localSheetId="11">'уоін 12'!$A$1:$I$171</definedName>
  </definedNames>
  <calcPr fullCalcOnLoad="1"/>
</workbook>
</file>

<file path=xl/sharedStrings.xml><?xml version="1.0" encoding="utf-8"?>
<sst xmlns="http://schemas.openxmlformats.org/spreadsheetml/2006/main" count="5236" uniqueCount="488">
  <si>
    <t>Надійшло у натуральному виразі</t>
  </si>
  <si>
    <t>Надійшло на виконання окремих доручень (на рахунок)</t>
  </si>
  <si>
    <t>від батьків</t>
  </si>
  <si>
    <t>від шефів,підприємств та установ</t>
  </si>
  <si>
    <t>Мета</t>
  </si>
  <si>
    <t>Назва  підприємств, установ та мета</t>
  </si>
  <si>
    <t>Назва підприємств, установ та мета</t>
  </si>
  <si>
    <t>КДНЗ№54</t>
  </si>
  <si>
    <t>КДНЗ№125</t>
  </si>
  <si>
    <t>КДНЗ№145</t>
  </si>
  <si>
    <t>КДНЗ№149</t>
  </si>
  <si>
    <t>КДНЗ№158</t>
  </si>
  <si>
    <t>КДНЗ№211</t>
  </si>
  <si>
    <t>КДНЗ№216</t>
  </si>
  <si>
    <t>КДНЗ№220</t>
  </si>
  <si>
    <t>КДНЗ№235</t>
  </si>
  <si>
    <t>КДНЗ№239</t>
  </si>
  <si>
    <t>КДНЗ№260</t>
  </si>
  <si>
    <t>КДНЗ№271</t>
  </si>
  <si>
    <t>Всьго:</t>
  </si>
  <si>
    <t>Всього:</t>
  </si>
  <si>
    <t>КДНЗ№215</t>
  </si>
  <si>
    <t>Сума, грн.</t>
  </si>
  <si>
    <t>від шефів, підприємств та установ</t>
  </si>
  <si>
    <t>КДНЗ№43</t>
  </si>
  <si>
    <t>Міщенко Ніна Семенівна</t>
  </si>
  <si>
    <t>ІНФОРМАЦІЯ</t>
  </si>
  <si>
    <t>по відділу освіти виконкому Тернівської районної у місті ради</t>
  </si>
  <si>
    <t>Заклади</t>
  </si>
  <si>
    <t>КЗШ№42</t>
  </si>
  <si>
    <t>КЗШ№48</t>
  </si>
  <si>
    <t>КЗШ№55</t>
  </si>
  <si>
    <t>КДНЗ№75</t>
  </si>
  <si>
    <t>КЗШ№76</t>
  </si>
  <si>
    <t xml:space="preserve"> </t>
  </si>
  <si>
    <t>Головний бухгалтер</t>
  </si>
  <si>
    <t>Література</t>
  </si>
  <si>
    <t>КЗШ№45</t>
  </si>
  <si>
    <t>КЗШ № 37</t>
  </si>
  <si>
    <t>КЗШ № 27</t>
  </si>
  <si>
    <t>НВК № 38</t>
  </si>
  <si>
    <t>НВК № 218</t>
  </si>
  <si>
    <t>КЗШ№40</t>
  </si>
  <si>
    <t>Будівельні матеріали</t>
  </si>
  <si>
    <t>Стенди,меблі</t>
  </si>
  <si>
    <t>гімназія</t>
  </si>
  <si>
    <t>КЗШ № 116</t>
  </si>
  <si>
    <t>ТОВ "Югвент"</t>
  </si>
  <si>
    <t>Література,будівельні матеріали</t>
  </si>
  <si>
    <t>КДНЗ№176</t>
  </si>
  <si>
    <t>НВК № 83</t>
  </si>
  <si>
    <t>Миючі  засоби,канцтовари,буд.матеріали</t>
  </si>
  <si>
    <t>Техн.засоби</t>
  </si>
  <si>
    <t>КНТТУМ</t>
  </si>
  <si>
    <t>СЮН</t>
  </si>
  <si>
    <t>КДНЗ№115</t>
  </si>
  <si>
    <t>НВК № 291</t>
  </si>
  <si>
    <t>КЗШ№50</t>
  </si>
  <si>
    <t>КЗШ№61</t>
  </si>
  <si>
    <t>КЗШ № 78</t>
  </si>
  <si>
    <t>ліцей</t>
  </si>
  <si>
    <t>КЗШ № 105</t>
  </si>
  <si>
    <t>КЗШ № 110</t>
  </si>
  <si>
    <t>КЗШ № 117</t>
  </si>
  <si>
    <t>ДЮСШ № 5</t>
  </si>
  <si>
    <t>35-52-32</t>
  </si>
  <si>
    <t>СЮТ</t>
  </si>
  <si>
    <t>ЦТКЕ</t>
  </si>
  <si>
    <t>Разом 0611010</t>
  </si>
  <si>
    <t>Разом 0611010;  0611020;  0611090, 0615031</t>
  </si>
  <si>
    <t>Разом  0611020, 0611090, 0615031</t>
  </si>
  <si>
    <t>О.Парфенюк</t>
  </si>
  <si>
    <t>"Громадський бюджет" на реалізацію проекту "Від практичних навичок до вільного володіння іноземною мовою"</t>
  </si>
  <si>
    <t>"Громадський бюджет" на реалізацію проекту "Енергозберігаючі вікна в Криворізькій Тернівській гімназії"</t>
  </si>
  <si>
    <t>виконкому Криворізької</t>
  </si>
  <si>
    <t xml:space="preserve">                                              Управління освіти і науки </t>
  </si>
  <si>
    <t xml:space="preserve">                                              міської ради</t>
  </si>
  <si>
    <t>Миючі  засоби</t>
  </si>
  <si>
    <t>Миючі  засоби,меблі</t>
  </si>
  <si>
    <t>Миючі  засоби,дверім/п</t>
  </si>
  <si>
    <t>Миючі  засоби,меблі, іграшки, посуд,мякий інв.</t>
  </si>
  <si>
    <t>Миючі  засоби,лампа кварц.</t>
  </si>
  <si>
    <t>Миючі  засоби,двері, меблі,шк.дошка,посуд</t>
  </si>
  <si>
    <t>література</t>
  </si>
  <si>
    <t>літ-ра</t>
  </si>
  <si>
    <t>меблі,штори,літ-ра</t>
  </si>
  <si>
    <t>перфоратор,літ-ра</t>
  </si>
  <si>
    <t>канцтовари,госп.інв., літ-ра,меблі,посуд</t>
  </si>
  <si>
    <t>двері,посуд,буд.матеріали,літ-ра,</t>
  </si>
  <si>
    <t>Миючі  засоби,мякий інв.меблі,іграшки</t>
  </si>
  <si>
    <t>Миючі  засоби,меблі,іграшки,мякий інв.</t>
  </si>
  <si>
    <t>меблі,спорт.інв.</t>
  </si>
  <si>
    <t>телевізор,комп.техніка,буд.матеріали,меблі,література</t>
  </si>
  <si>
    <t xml:space="preserve">Начальник відділу освіти </t>
  </si>
  <si>
    <t xml:space="preserve"> Тернівської районної у місті ради</t>
  </si>
  <si>
    <t>С.Горевич</t>
  </si>
  <si>
    <t>Миючі  засоби,меблі, мякий інв.</t>
  </si>
  <si>
    <t>Миючі  засоби,штори, водонагрівачі,меблі,посуд,двері,мякий інв.</t>
  </si>
  <si>
    <t>література,будівельні матеріали</t>
  </si>
  <si>
    <t>літ-ра,буд.матеріали, нат.стеля,меблі, телевізор</t>
  </si>
  <si>
    <t>Дитячий фонд ООН</t>
  </si>
  <si>
    <t>Місц.гром.  організація "Агенція регіон.розвитку"</t>
  </si>
  <si>
    <t>рибки,література</t>
  </si>
  <si>
    <t>Сузір я</t>
  </si>
  <si>
    <t>піаніно, монітор,сітка волейбольна</t>
  </si>
  <si>
    <t>літ-ра,меблі,принтер, мульт.пристрій,дошка, хім.реактиви,фарба</t>
  </si>
  <si>
    <t>С.Мамиркіна</t>
  </si>
  <si>
    <t>94-81-02</t>
  </si>
  <si>
    <t>Благодійні внески</t>
  </si>
  <si>
    <t>На виготовлення та надання висновку по технічному огляду</t>
  </si>
  <si>
    <t>На виготовлення документів про освіту державного зразка</t>
  </si>
  <si>
    <t>КЗШ</t>
  </si>
  <si>
    <t>Виконком на харчування дітей в літньому таборі</t>
  </si>
  <si>
    <t xml:space="preserve">Нікалаєва Наталія Миколаївна, </t>
  </si>
  <si>
    <t>Миючі  засоби,тюль, костюми,принтер,     пилосос</t>
  </si>
  <si>
    <t>Миючі засоби,пісок, буд.матеріали</t>
  </si>
  <si>
    <t>Миючі засоби,буд. матеріали,костюми,мякий інв.</t>
  </si>
  <si>
    <t>меблі,лінолеум,літ-ра, фарба,шпалери</t>
  </si>
  <si>
    <t>Миючі засоби,буд. матеріали,жалюзі, дошка,меблі, літ-ра,зварювальний інвертор</t>
  </si>
  <si>
    <t>меблі,госп.,буд.матеріал, канцтовари,літ-ра,меблі</t>
  </si>
  <si>
    <t>стенди,стільці</t>
  </si>
  <si>
    <t>Благодійний фонд"Молоді Терни"</t>
  </si>
  <si>
    <t>щодо надходжень бюджетних установ за 7 місяців 2018року</t>
  </si>
  <si>
    <t>Миючі засоби,  дезакт, меблі,буд.матеріали, двері,паласи,тюль,пісок,посуд</t>
  </si>
  <si>
    <t>Миючі засоби,меблі, іграшки,м/пл.вікна,спорт. піраміда,двері,фарба</t>
  </si>
  <si>
    <t xml:space="preserve">Миючі  засоби,посуд, двері,госп.мякий інв.,меблі </t>
  </si>
  <si>
    <t>Миючі  засоби,меблі,мякий інв.фарба</t>
  </si>
  <si>
    <t>Миючі  засоби,тюль, костюми,принтер,пилосос, буд.матер.двері</t>
  </si>
  <si>
    <t>світильники,літ-ра, фарба</t>
  </si>
  <si>
    <t>вата,пісок</t>
  </si>
  <si>
    <t xml:space="preserve">В.о. начальника відділу освіти -  </t>
  </si>
  <si>
    <t>головний спеціаліст відділу освіти</t>
  </si>
  <si>
    <t>Миючі  засоби,тюль, костюми,принтер,     пилосос,мякий інв.</t>
  </si>
  <si>
    <t>Миючі  засоби,штори, водонагрівачі,меблі,посуд,двері,мякий інв., килим</t>
  </si>
  <si>
    <t>Миючі засоби,меблі, мякий інв.фарба, люстра</t>
  </si>
  <si>
    <t>Миючі  засоби,клей</t>
  </si>
  <si>
    <t>стенди,стільці,фарба, м/п вікна</t>
  </si>
  <si>
    <t>канцтовари,госп.інв., літ-ра,меблі,посуд, телевізор</t>
  </si>
  <si>
    <t>вата,пісок,клей</t>
  </si>
  <si>
    <t>щодо надходжень бюджетних установ за 8 місяців 2018року</t>
  </si>
  <si>
    <t>Благ.фонд "молоді Терни"</t>
  </si>
  <si>
    <t>Миючі  засоби,тюль, костюми,принтер,пило-сос,мякий інв.подушки</t>
  </si>
  <si>
    <t>Миючі засоби,меблі, мякий інв.фарба, люстра,посуд,килим</t>
  </si>
  <si>
    <t>Миючі  засоби,лампа кварц.,меблі,</t>
  </si>
  <si>
    <t>Миючі  засоби,тюль, костюми,принтер,пилосос, буд.матер.двері,фарба,водонагрівач</t>
  </si>
  <si>
    <t>Миючі  засоби,клей,мякий інвентар</t>
  </si>
  <si>
    <t>Крив,пед,універ</t>
  </si>
  <si>
    <t>Кривор..педадогіч. університет</t>
  </si>
  <si>
    <t>меблі,штори,літ-ра, жалюзі</t>
  </si>
  <si>
    <t>перфоратор,літ-ра, жалюзі</t>
  </si>
  <si>
    <t>маршрутизатор, кронштейн,телевізор</t>
  </si>
  <si>
    <t>рибки,літературакарніз, гардини</t>
  </si>
  <si>
    <t>світильники,літ-ра, фарба, меблі</t>
  </si>
  <si>
    <t>Християнська Організація</t>
  </si>
  <si>
    <t>щодо надходжень бюджетних установ за 9 місяців 2018року</t>
  </si>
  <si>
    <t xml:space="preserve">Начальник відділу освіти -  </t>
  </si>
  <si>
    <t>щодо надходжень бюджетних установ за 10 місяців 2018року</t>
  </si>
  <si>
    <t>Миючі засоби,пісок, буд.матеріали,посуд,меблі</t>
  </si>
  <si>
    <t xml:space="preserve">Миючі  засоби,посуд, двері,госп.мякий інв.,меблі,праска </t>
  </si>
  <si>
    <t>Миючі  засоби,дверім/п,мякий,меблі</t>
  </si>
  <si>
    <t>Миючі  засоби,клей,мякий інвентар,тюль</t>
  </si>
  <si>
    <t>Миючі  засоби,тюль</t>
  </si>
  <si>
    <t>література,фарба,буд.матеріали,миючі</t>
  </si>
  <si>
    <t>техніка,меблі,фарба,двері,шпалери,буд.матеріали</t>
  </si>
  <si>
    <t>буд.матеріали</t>
  </si>
  <si>
    <t>світильники,літ-ра, фарба, меблі,буд.матеріали</t>
  </si>
  <si>
    <t>меблі,госп.,буд.матеріал, канцтовари,літ-ра,меблі,ролети,фарба</t>
  </si>
  <si>
    <t>літ-ра,буд.матеріали, нат.стеля,меблі,тюль телевізор,</t>
  </si>
  <si>
    <t>меблі,штори,літ-ра, жалюзі,література</t>
  </si>
  <si>
    <t>перфоратор,літ-ра, жалюзі,пісок</t>
  </si>
  <si>
    <t>щодо надходжень бюджетних установ за 11 місяців 2018року</t>
  </si>
  <si>
    <t xml:space="preserve">автор </t>
  </si>
  <si>
    <t>меблі,нагрівач</t>
  </si>
  <si>
    <t>спорт інвентар</t>
  </si>
  <si>
    <t>Міжнар.благ.  фонд С.Смелого</t>
  </si>
  <si>
    <t>стенди,стільці,фарба, м/п вікна,література</t>
  </si>
  <si>
    <t>телевізор</t>
  </si>
  <si>
    <t>піаніно, монітор,сітка волейбольна,мякий інв.</t>
  </si>
  <si>
    <t>Миючі  засоби,тюль, костюми,принтер, пилосос,мякий інв. подушки,меблі,посуд</t>
  </si>
  <si>
    <t>Миючі  засоби,мякий інв.меблі,іграшки,пісок</t>
  </si>
  <si>
    <t>Миючі  засоби,меблі, грашки,мякий інв.</t>
  </si>
  <si>
    <t>Миючі  засоби,тюль, костюми,принтер,пилосос, буд.матер.двері,фарба,водонагрівач,посуд</t>
  </si>
  <si>
    <t>Миючі  засоби,клей, мякий інвентар,тюль, посуд</t>
  </si>
  <si>
    <t>Миючі  засоби,двері м/п,мякий,меблі</t>
  </si>
  <si>
    <t>Миючі  засоби,тюль, мякий інвентар,меблі, холодильник</t>
  </si>
  <si>
    <t>меблі,лінолеум,літ-ра, фарба,шпалери, ноутбук,килим,телевізор</t>
  </si>
  <si>
    <t>щодо надходжень бюджетних установ за 12 місяців 2018року</t>
  </si>
  <si>
    <t xml:space="preserve">Миючі  засоби,посуд, двері,госп.мякий інв.,меблі,праска,ел.чайник,костюми </t>
  </si>
  <si>
    <t>Миючі  засоби,лампа кварц.,меблі,муз.інструменти,костюми</t>
  </si>
  <si>
    <t>Миючі  засоби,тюль, костюми,принтер,пилосос буд.матер.двері,фарба,водонагрівач,посуд,мякий інв.посуд,</t>
  </si>
  <si>
    <t>Миючі  засоби,тюль, мякий інвентар,меблі, холодильник,іграшки</t>
  </si>
  <si>
    <t>Миючі  засоби,мякий інв.меблі,іграшки, пісок, унітаз</t>
  </si>
  <si>
    <t>література,фарба,буд.матеріали,миючі,мегафон</t>
  </si>
  <si>
    <t>Миючі  засоби,двері, меблі,шк.дошка,посуд,мякий інв.,костюми</t>
  </si>
  <si>
    <t>Миючі  засоби,меблі,мякий інв.,годиник</t>
  </si>
  <si>
    <t>проектор</t>
  </si>
  <si>
    <t>"зелений центр Метинвест"</t>
  </si>
  <si>
    <t>акустична система</t>
  </si>
  <si>
    <t>"Метінвест"</t>
  </si>
  <si>
    <t>стіл тенісний</t>
  </si>
  <si>
    <t>ЗПП"Чисте місто"</t>
  </si>
  <si>
    <t>Миючі засоби,буд. матеріали,жалюзі, дошка,меблі, літ-ра,зварювальний інвертор,посуд</t>
  </si>
  <si>
    <t>ел.техніка,ліноліум,стільці</t>
  </si>
  <si>
    <t>мебл,лінгафона система</t>
  </si>
  <si>
    <t>клей д/обоїв,фарба,меблі</t>
  </si>
  <si>
    <t>буд.матеріали,меблі</t>
  </si>
  <si>
    <t>меблі,штори,літ-ра, жалюзі,література,телевізор</t>
  </si>
  <si>
    <t>комп.техніка,телевізор</t>
  </si>
  <si>
    <t>Обл.еколого-натуралістичний центр</t>
  </si>
  <si>
    <t>системний блок,меблі,комп.техніка</t>
  </si>
  <si>
    <t>ДЮСШ № 7</t>
  </si>
  <si>
    <t>Миючі  засоби,дверім/п  ламбрікени</t>
  </si>
  <si>
    <t>літ-ра,техн.засоби</t>
  </si>
  <si>
    <t>автор</t>
  </si>
  <si>
    <t>Миючі  засоби,костюми іграшки,спорт інв.</t>
  </si>
  <si>
    <t>Техн.засоби,буд.матеріали жалюзі,меблі</t>
  </si>
  <si>
    <t>буд.матеріали,мякий інв. Літ-ра</t>
  </si>
  <si>
    <t>БФ"Молоді Терни"</t>
  </si>
  <si>
    <t>Миючі  засоби, умивальник</t>
  </si>
  <si>
    <t>Миючі  засоби,мякий інв., лава для роздягання</t>
  </si>
  <si>
    <t>Миючі  засоби,костюми мякий інв.,меблі, чайник,відро</t>
  </si>
  <si>
    <t>Миючі  засоби,дверне полотно,костюми</t>
  </si>
  <si>
    <t>Миючі  засоби, іграшки,госп. Інвентар,тюль,штори</t>
  </si>
  <si>
    <t>література,миючиі засоби</t>
  </si>
  <si>
    <t>літ-ра,буд.матеріали</t>
  </si>
  <si>
    <t xml:space="preserve"> Департамент освіти і науки </t>
  </si>
  <si>
    <t xml:space="preserve">                                      </t>
  </si>
  <si>
    <t>міської ради</t>
  </si>
  <si>
    <t>Міщенко Ніна Семенівна, 94-81-02</t>
  </si>
  <si>
    <t>Ніколаєва Наталія Миколаївна, 35-52-32</t>
  </si>
  <si>
    <t>Меблі,миючі засоби, мякий інв.,двері,килимок</t>
  </si>
  <si>
    <t>Миючі  засоби, холодильник, проектор в комплекті с екраном</t>
  </si>
  <si>
    <t>Миючі  засоби,двері метал, білизна,костюми, посуд,карниз,москітна сітка,відро, буд.матер.</t>
  </si>
  <si>
    <t>Миючі  засоби,подушки, тюль,ковдри, штори, сукні</t>
  </si>
  <si>
    <t>Буд.матеріали,дошка шк. новорічні прикраси, шк.стінка,літ-ра,канцтовари, господ.товари,  трибуна,фарба</t>
  </si>
  <si>
    <t>телевізор,м/п вікно, література</t>
  </si>
  <si>
    <t>література, парта шкільна, стільці, шкільна дошка</t>
  </si>
  <si>
    <t>щодо надходжень бюджетних установ за травень 2019року</t>
  </si>
  <si>
    <t>Миючі  засоби, костюми, посуд, інформ. Стенди, шафи кухоні</t>
  </si>
  <si>
    <t>Миючі  засоби,костюми, пісок,килимові доріжки, покривала на ліжко,килим</t>
  </si>
  <si>
    <t>Миючі  засоби,шпалери, фарба,тюль,ламбрикен</t>
  </si>
  <si>
    <t>Піаніно б/у,миючі засоби, фарба</t>
  </si>
  <si>
    <t>Миючі засоби</t>
  </si>
  <si>
    <t>Моноблок, ноутбуки, обігрівач, куліси, література</t>
  </si>
  <si>
    <t>холодильник,водонагрівач, література</t>
  </si>
  <si>
    <t>Миючі  засоби,меблі, мякий інв.,вішалка для рушників, література</t>
  </si>
  <si>
    <t>роутер, інформ. стенди,підставки для виставок, натяжна стеля, вікна м/п, література</t>
  </si>
  <si>
    <t>Буд.матеріали,жалюзі, дошка учн.,натяжна стеля,госп.інвентар, вогнегасники,комплект меблів б/у,секатор</t>
  </si>
  <si>
    <t>посуд, стінка б/у, кондиціонер</t>
  </si>
  <si>
    <t>Дошка класна,жалюзі, стенд, столешні, телевізор, хім.реактиви</t>
  </si>
  <si>
    <t>Клей для стельової плитки</t>
  </si>
  <si>
    <t>Лінолеум, двері м/п, ДВП, література</t>
  </si>
  <si>
    <t>Виконком на харчування дітей пільгових категорій в шкільному літньому таборі</t>
  </si>
  <si>
    <t>щодо надходжень бюджетних установ за червень 2019року</t>
  </si>
  <si>
    <t>Миючі  засоби,костюми мякий інв.,меблі, чайник,відро,штори,шафи,полка для взуття,куточок для посібників</t>
  </si>
  <si>
    <t>Миючі  засоби,дверне полотно,костюми,пісок річковий</t>
  </si>
  <si>
    <t>холодильник,водонагрівач, література,костюми,штори,рушники,посуд,шафа для посібників, буд.матеріали</t>
  </si>
  <si>
    <t>Буд.матеріали,дошка шк. новорічні прикраси, шк.стінка,літ-ра,канцтовари, господ.товари,  трибуна,фарба, крісла,телевізор,грати металеві,стенд,паливо,масло</t>
  </si>
  <si>
    <t>Буд.матеріали,жалюзі, дошка учн.,натяжна стеля,госп.інвентар, вогнегасники,комплект меблів б/у,секатор,підставка під квіти,масло машинне,бензин,м'яч волейбольний,гра дитяча</t>
  </si>
  <si>
    <t>дошка для лав,літ-ра</t>
  </si>
  <si>
    <t>література, парта шкільна, стільці, шкільна дошка,жалюзі,лампи підвісні</t>
  </si>
  <si>
    <t>Клей для стельової плитки,шпалери</t>
  </si>
  <si>
    <t>щодо надходжень бюджетних установ за  липень 2019року</t>
  </si>
  <si>
    <t>Миючі  засоби, костюми, посуд, інформ. Стенди, шафи кухоні, куточок "Лікаря",клей</t>
  </si>
  <si>
    <t>Миючі  засоби,шпалери, фарба,тюль,ламбрикен,віконі ролети,шланг поливний,катушка для шлангу</t>
  </si>
  <si>
    <t>Піаніно б/у,миючі засоби, фарба,сканер,лавка дитяча,картина дитяча саморобна, набір дятячої меблі іграшковий саморобний</t>
  </si>
  <si>
    <t>Миючі  засоби,мякий інв., лава для роздягання, карниз потолочний,дошка-мальберт</t>
  </si>
  <si>
    <t>Миючі  засоби,костюми іграшки,спорт інв.,люстра,водонагрівач, чашка, стінка кухонна, стіл для масажу,меблева стінка</t>
  </si>
  <si>
    <t>Миючі  засоби,костюми мякий інв.,меблі, чайник,відро,штори,шафи,полка для взуття,куточок для посібників, штора бавовняна,двері вхідні металеві,вікна металопластикові</t>
  </si>
  <si>
    <t>Техн.засоби,буд.матеріали жалюзі,меблі,стіл письмовий,комп'ютер б/у,фарба, крейда, шпатлівка</t>
  </si>
  <si>
    <t>Дошка класна,жалюзі, стенд, столешні, телевізор, хім.реактиви, клей для шпалер</t>
  </si>
  <si>
    <t>література, емаль зелена</t>
  </si>
  <si>
    <t>ЦПО "Терни"</t>
  </si>
  <si>
    <t>Будівельні,господарчі матеріали,миючі засоби</t>
  </si>
  <si>
    <t>"Визвольний рух"- А.В. Третьяка</t>
  </si>
  <si>
    <t>Заступник начальникка відділу освіти</t>
  </si>
  <si>
    <t>Н.Лисак</t>
  </si>
  <si>
    <t>Миючі  засоби,</t>
  </si>
  <si>
    <t>Миючі  засоби,костюми</t>
  </si>
  <si>
    <t>Миючі  засоби, полка для іграшок, кварлева лампа, скамейка дитяча, набір меблів "інформаційний куток",ялинка новорічна,столи дитячі</t>
  </si>
  <si>
    <t>Миючі  засоб</t>
  </si>
  <si>
    <t>Фото штора, штори, килим</t>
  </si>
  <si>
    <t>Шафа, килим, стенди комплект, тарілка мілка, миючі засоби</t>
  </si>
  <si>
    <t>Світлодинамічний прилад (проектор),дзеркальна куля, балансуюча дошка, Фіброоптичне волокно,набір сенсорних м'ячів,світлова гармата до кулі+світлофільтр,колона з бульбашками,світлова панель Безкінченність,сухий басейн з прозорими кулями і підсвіткою, стіл для малювання піском з підсвічуванням,зволожувач повітря з іонізацією</t>
  </si>
  <si>
    <t>Німецьке товариство міжнародного співробітництва (GIZ) ГмбХ</t>
  </si>
  <si>
    <t>Світлодинамічний прилад (проектор),дзеркальна куля, балансуюча дошка, Фіброоптичне волокно,набір сенсорних м'ячів,світлова гармата до кулі+світлофільтр,колона з бульбашками,світлова панель Безкінченність,сухий басейн з прозорими кулями і підсвіткою, стіл для малювання піском з підсвічуванням,зволожувач повітря з іонізацією, штучна ялинка,комплект стендів</t>
  </si>
  <si>
    <t>Стіл письмовий для вчителя</t>
  </si>
  <si>
    <t>Будівельні матеріали, тюль</t>
  </si>
  <si>
    <t>Пісок, плитка метлахська,плитка Cersonit, підставка для прапорів,світильник стельовий, прапори,сітка-стійка, жалюзі, тюль, стінка "Оскар"</t>
  </si>
  <si>
    <t>літ-ра,</t>
  </si>
  <si>
    <t>Полиця для взуття, стільці, дзвоник,будівельні матеріали,електрична лампа</t>
  </si>
  <si>
    <t>щодо надходжень бюджетних установ за  січень  2020 року</t>
  </si>
  <si>
    <t>щодо надходжень бюджетних установ за  лютий  2020 року</t>
  </si>
  <si>
    <t>Миючі  засоби,килим овальний, штора на сцену,стілець дитячий, виделка столова, ваги електроні</t>
  </si>
  <si>
    <t>Шафа для педпосібників, лавка  для роздягання,ялинка штучна,миючі засоби</t>
  </si>
  <si>
    <t>Миючі  засоби,полиці модульні,сенсорний столик,стіл 6-ти містний,контейнер пластмасовий,каталка з корзиною,паркінг,полиця для іграшок,дошка магнітна,ківшик,щітка для полу,електрообігрівач,тюль капронова,килим,штори 3D.</t>
  </si>
  <si>
    <t>Миючі  засоби,лялька "Україночка",ручні вироби для патріотичного куточку,дитячий набір музичних інструментів,дитячі меблі,іграшки для лялькового театру,ваза з декоративними квітами,посуд іграшковий,лялька-мотанка,дитячий конструктор, іграшки різні, іграшки для куточку техніки безпеки,набір кеглів,настільні іграшки,дитяча коляска,стулець м'який,килим,ковролін,покривала</t>
  </si>
  <si>
    <t>Миючі  засоби,полове покриття,штори</t>
  </si>
  <si>
    <t>Миючі  засоби,зимова фото-штора,сукні,н/с миска, н/с відро, н/с кастрюля,ковш ємаль, відро пластмасове</t>
  </si>
  <si>
    <t>Конвектор, вішалка настіна, набір дерев'яний 14 в 1 "Країна Монтессорі", Гильйотина канцелярська,пилосос с контейнером,таз для фруктів,сушка для посуду,дошка кухонна для нарізання,вішалка для рушників,ніж, тримач для паперових рушників,тунель саморобний,короб саморобний для спортінвентарю, шафа із дзеркалом та антресоллю, шафа платтяна з антресоллю,полка</t>
  </si>
  <si>
    <t>Миючі  засоби,стілаж для іграшок,доска розподільча, кастрюля 2л,серветниця</t>
  </si>
  <si>
    <t>будівельні матеріали,USB провід для принтеру,папір офісний</t>
  </si>
  <si>
    <t>Будівельні матеріали, тюль,шафа двохдверна з антресоллю,світильник над дошкою,килимки діалектричні пожежостійкі,термометр для холодильника</t>
  </si>
  <si>
    <t>Світлодинамічний прилад (проектор),дзеркальна куля, балансуюча дошка, Фіброоптичне волокно,набір сенсорних м'ячів,світлова гармата до кулі+світлофільтр,колона з бульбашками,світлова панель Безкінченність,сухий басейн з прозорими кулями і підсвіткою, стіл для малювання піском з підсвічуванням,зволожувач повітря з іонізацією, проточний водонагрівач,телевізор,вікна м/п, книжкові полиці,клей для шпалер</t>
  </si>
  <si>
    <t>Баннер (з атрибутикою закладу)</t>
  </si>
  <si>
    <t>щодо надходжень бюджетних установ за  березень  2020 року</t>
  </si>
  <si>
    <t>Миючі  засоби, полка для іграшок, кварлева лампа, скамейка дитяча, набір меблів "інформаційний куток",ялинка новорічна,столи дитячі,підковдра, простирадло,наволочка,костюми різні</t>
  </si>
  <si>
    <t>Шафа для педпосібників, лавка  для роздягання,ялинка штучна,миючі засоби,костюм ельфа, бальні плаття,ковпак,фартух поварський,костюм "Пиріжок"</t>
  </si>
  <si>
    <t>Фото штора, штори, килим,драбина,ножиці садові,ножиці кровельні, швецька стінка,світовий столик пісочної анімації,тюль (20мп),штори в актову залу,змішувач води, міжкімнатні двері</t>
  </si>
  <si>
    <t>Миючі  засоби,зимова фото-штора,сукні,н/с миска, н/с відро, н/с кастрюля,ковш ємаль, відро пластмасове,штори з ламбрикеном, штори  в музичну залу</t>
  </si>
  <si>
    <t>Конвектор, вішалка настіна, набір дерев'яний 14 в 1 "Країна Монтессорі", Гильйотина канцелярська,пилосос с контейнером,таз для фруктів,сушка для посуду,дошка кухонна для нарізання,вішалка для рушників,ніж, тримач для паперових рушників,тунель саморобний,короб саморобний для спортінвентарю, шафа із дзеркалом та антресоллю, шафа платтяна з антресоллю,полка,рушники,костюми,поробки</t>
  </si>
  <si>
    <t>Пенал Берегиня, стіл письмовий, жалюзі вертикальні,стіл учнівський 2-х місний,стілець регулюємий</t>
  </si>
  <si>
    <t>будівельні матеріали,USB провід для принтеру,папір офісний,граблі</t>
  </si>
  <si>
    <t>Світлодинамічний прилад (проектор),дзеркальна куля, балансуюча дошка, Фіброоптичне волокно,набір сенсорних м'ячів,світлова гармата до кулі+світлофільтр,колона з бульбашками,світлова панель Безкінченність,сухий басейн з прозорими кулями і підсвіткою, стіл для малювання піском з підсвічуванням,зволожувач повітря з іонізацією, проточний водонагрівач,телевізор,вікна м/п, книжкові полиці,клей для шпалер,монітор,системний блок,тумба саморобна</t>
  </si>
  <si>
    <t>щодо надходжень бюджетних установ за  квітень  2020 року</t>
  </si>
  <si>
    <t>ДЮСШ №7</t>
  </si>
  <si>
    <t xml:space="preserve">Департамент освіти і науки </t>
  </si>
  <si>
    <t>ЦТКЕ Меридіан</t>
  </si>
  <si>
    <t>ЦДЮТ Сузір'я</t>
  </si>
  <si>
    <t>ЦДЮТ Терноцвіт</t>
  </si>
  <si>
    <t>КГ№76</t>
  </si>
  <si>
    <t>КГ№40</t>
  </si>
  <si>
    <t>КГ № 38</t>
  </si>
  <si>
    <t>КГ № 83</t>
  </si>
  <si>
    <t>Разом  0611021, 0611070, 0615031</t>
  </si>
  <si>
    <t>Разом 0611010;  0611021;  0611070, 0615031</t>
  </si>
  <si>
    <t>Начальник відділу освіти</t>
  </si>
  <si>
    <t>`</t>
  </si>
  <si>
    <t>Гімназія</t>
  </si>
  <si>
    <t>КЗШ №27</t>
  </si>
  <si>
    <t>Миючі засоби.</t>
  </si>
  <si>
    <t>Кований квітковий велосипед</t>
  </si>
  <si>
    <t>Громадська спілка "Зелений центр "МЕТІНВЕСТ"</t>
  </si>
  <si>
    <t>Благодійна організація "Міжнародний благодійний фонд "Благосердя"</t>
  </si>
  <si>
    <t>Система Travel Extrim Universal</t>
  </si>
  <si>
    <t>Паперові рушники.</t>
  </si>
  <si>
    <t>Папір туалетний.</t>
  </si>
  <si>
    <t>Комплект дит.меблів,лава для роздягання,холодильник,магнітофон,пилосмок,кастрюля.</t>
  </si>
  <si>
    <t>Телевізори,миючі засоби.</t>
  </si>
  <si>
    <t>Вікно,конструкція фотофон.</t>
  </si>
  <si>
    <t>Дошка аудиторна,телевізор.</t>
  </si>
  <si>
    <t>Всеукраїнський благодійний фонд "Східноєвропейська гуманітарна місія"</t>
  </si>
  <si>
    <t>Клей для лінолеума.</t>
  </si>
  <si>
    <t>Євгенія КОЛІСНИК</t>
  </si>
  <si>
    <t>Світлана МАМИРКІНА</t>
  </si>
  <si>
    <t>Яковенко Лариса  94 81 02</t>
  </si>
  <si>
    <t>Ніколаєва Наталія 35 52 32</t>
  </si>
  <si>
    <t>Будівельні матеріали, чашки, карнизи, лампа LED,тюль,миючі засоби,кухонний пенал.</t>
  </si>
  <si>
    <t>Буд.матеріали.</t>
  </si>
  <si>
    <t>щодо надходжень бюджетних установ за квітень 2022 року</t>
  </si>
  <si>
    <t>Печатка закладу, штамп закладу, вивіска закладу</t>
  </si>
  <si>
    <t>Килим,тюль,костюм Діда Мороза,дошка,паркінг,картина,шафа,іграшки,УФО,ваги,миючі засоби, м'яч "Стрибунець", набір гімнастичних палок, набір "Кільцекид", печать, штамп</t>
  </si>
  <si>
    <t>Печатка кругла, штамп кутовий, вивіска</t>
  </si>
  <si>
    <t>Штамп закладу, печатка</t>
  </si>
  <si>
    <t>Печатка закладу, штамп закладу, вивіска закладу, тарілка глибока, тарілка мілка</t>
  </si>
  <si>
    <t>щодо надходжень бюджетних установ за травень 2022 року</t>
  </si>
  <si>
    <t>Миючі засоби, печатка кругла, штамп, холодильник-вітрина Snaige</t>
  </si>
  <si>
    <t>Комплект дит.меблів,лава для роздягання,холодильник,магнітофон,пилосмок,кастрюля, печатка кругла прорезинова, штамп прорезиновий, вивіска з назвою закладу</t>
  </si>
  <si>
    <t>Папір туалетний,печатка, штамп кутовий</t>
  </si>
  <si>
    <t>Телевізори,миючі засоби, печатка, штамп закладу</t>
  </si>
  <si>
    <t>Печатка закладу, штамп закладу</t>
  </si>
  <si>
    <t>Печатка закладу, штамп закладу, вивіска закладу,</t>
  </si>
  <si>
    <t>щодо надходжень бюджетних установ   за червень 2022 року</t>
  </si>
  <si>
    <t>Штамп закладу, печатка,велосипед,шв.машина,тримач для рушників.</t>
  </si>
  <si>
    <t>ВСП"Криворізький РВ ДУ "Дніпропетровський ОЦКПХ"</t>
  </si>
  <si>
    <t>щодо надходжень бюджетних установ   за липень 2022 року</t>
  </si>
  <si>
    <t>щодо надходжень бюджетних установ   за  серпень 2022 року</t>
  </si>
  <si>
    <t>Штамп закладу, печатка,велосипед,шв.машина,тримач для рушників, мікрохвильова піч, Банер "Україна"</t>
  </si>
  <si>
    <t>Печатка закладу, штамп закладу, вивіска закладу, тарілка глибока, тарілка мілка, цемент М400</t>
  </si>
  <si>
    <t>Будівельні матеріали, газонокосарка електрична, сушарка для рук</t>
  </si>
  <si>
    <t>Вікно,конструкція фотофон,печатки,штампи.</t>
  </si>
  <si>
    <t>щодо надходжень бюджетних установ   за вересень 2022 року</t>
  </si>
  <si>
    <t>Печатки,штампи.</t>
  </si>
  <si>
    <t>КП "Фармація "КМР</t>
  </si>
  <si>
    <t>КП"Фармація"</t>
  </si>
  <si>
    <t>КЗДО №43</t>
  </si>
  <si>
    <t>КЗДО № 54</t>
  </si>
  <si>
    <t>КЗДО № 75</t>
  </si>
  <si>
    <t>КЗДО №115</t>
  </si>
  <si>
    <t>КЗДО № 125</t>
  </si>
  <si>
    <t>КЗДО № 145</t>
  </si>
  <si>
    <t>КЗДО № 149</t>
  </si>
  <si>
    <t>КЗДО № 158</t>
  </si>
  <si>
    <t>КЗДО № 176</t>
  </si>
  <si>
    <t>Миючі засоби, печатка кругла, штамп, холодильник-вітрина Snaige, медикаменти</t>
  </si>
  <si>
    <t>Комплект дит.меблів,лава для роздягання,холодильник,магнітофон,пилосмок,кастрюля, печатка кругла прорезинова, штамп прорезиновий, вивіска з назвою закладу, медикаменти</t>
  </si>
  <si>
    <t>КГ №27</t>
  </si>
  <si>
    <t xml:space="preserve">Печатка,штамп, </t>
  </si>
  <si>
    <t>Медикаменти</t>
  </si>
  <si>
    <t>КГ №42</t>
  </si>
  <si>
    <t>КП"Фармація" КМР</t>
  </si>
  <si>
    <t>КГ №48</t>
  </si>
  <si>
    <t>Література,лечатка,штамп, медикаменти</t>
  </si>
  <si>
    <t>Будівельні матеріали,лечатка,штамп, медикаменти</t>
  </si>
  <si>
    <t>Печатка,штампи, медикаменти</t>
  </si>
  <si>
    <t>КГ №50</t>
  </si>
  <si>
    <t>Будівельні матеріали, газонокосарка електрична, сушарка для рук,штампи,печатки, медикаменти</t>
  </si>
  <si>
    <t>КГ №55</t>
  </si>
  <si>
    <t>КП"Фармація КМР</t>
  </si>
  <si>
    <t>КЛ №77</t>
  </si>
  <si>
    <t>КТЛ</t>
  </si>
  <si>
    <t>Дошка аудиторна,телевізор, медикаменти</t>
  </si>
  <si>
    <t>АГГ</t>
  </si>
  <si>
    <t>Департамент соцполітики ВКМР</t>
  </si>
  <si>
    <t>Благодійна організація Благодійний фонд "Стабілізейшен Суппорт Сервісез"</t>
  </si>
  <si>
    <t>Печатка,штамп, медикаменти,Машина пральна, піч мікрохвильова, холодильник, водонаргрівач, духова шафа, мультиварка, електрочайник, фільтр живлення, КПБ (підковдрва, наволочка, простирадло), ковдра зимова, чохол, подушка, ліжко розкладне, праска</t>
  </si>
  <si>
    <t>щодо надходжень бюджетних установ   за жовтень 2022 року</t>
  </si>
  <si>
    <t>HEKS EPER</t>
  </si>
  <si>
    <t>Філія компанії Людина в біді</t>
  </si>
  <si>
    <t>Міжнародна організація з міграції</t>
  </si>
  <si>
    <t>Печатка,штамп, медикаменти,Машина пральна, піч мікрохвильова, холодильник, водонаргрівач, духова шафа, мультиварка, електрочайник, фільтр живлення, КПБ (підковдрва, наволочка, простирадло), ковдра зимова, чохол, подушка, ліжко розкладне, праска, миючі засоби, засувка, ємність 500л, ємність 1000л, постільні набори, гігієнічні набори</t>
  </si>
  <si>
    <t>Будівельні матеріали, газонокосарка електрична, сушарка для рук,штампи,печатки, медикаменти, миючі засоби</t>
  </si>
  <si>
    <t>КЗ "Центр професійного розвитку педагогічних працівників" КМР</t>
  </si>
  <si>
    <t>ДОІНВКМР</t>
  </si>
  <si>
    <t>Ноутбук Lenovo ChromeBook 300e</t>
  </si>
  <si>
    <t>Ковдра, подушка, матраси ватні, розкладачка м'яка, матрас м'який для розкладачки</t>
  </si>
  <si>
    <t>Паперові рушники, скотч</t>
  </si>
  <si>
    <t>Штамп закладу, печатка, набір для раннього дитинства</t>
  </si>
  <si>
    <t>Печатка кругла, штамп кутовий, вивіска, набір для раннього дитинства</t>
  </si>
  <si>
    <t>Комплект дит.меблів,лава для роздягання,холодильник,магнітофон,пилосмок,кастрюля, печатка кругла прорезинова, штамп прорезиновий, вивіска з назвою закладу, медикаменти, набір для раннього дитинства</t>
  </si>
  <si>
    <t>Папір туалетний,печатка, штамп кутовий, набір для раннього дитинства</t>
  </si>
  <si>
    <t>Печатка закладу, штамп закладу, вивіска закладу,набір для раннього дитинства</t>
  </si>
  <si>
    <t>УПСЗН</t>
  </si>
  <si>
    <t>Печатка,штамп, медикаменти,Машина пральна, піч мікрохвильова, холодильник, водонаргрівач, духова шафа, мультиварка, електрочайник, фільтр живлення, КПБ (підковдрва, наволочка, простирадло), ковдра зимова, чохол, подушка, ліжко розкладне, праска, миючі засоби, засувка, ємність 500л, ємність 1000л, постільні набори, гігієнічні набори, гігієнічні засоби,праска</t>
  </si>
  <si>
    <t>Набат Кривбас</t>
  </si>
  <si>
    <t>Література,лечатка,штамп, медикаменти, ліжко, матраси односпальні, ковдра, гігієнічні засоби,праска, подушка, ковдра</t>
  </si>
  <si>
    <t>ФОП Головченко О.А.</t>
  </si>
  <si>
    <t>КМО ПП "Слуга народу"</t>
  </si>
  <si>
    <t>Будівельні матеріали,лечатка,штамп, медикаменти, гігієнічні засоби, матраци односпальні, подушки, візочок,дез.засоби, праска б/у,подушка, матрац, наволочка, простирадла,ковдра, пральний порошок, бойлер 100л., Електронагрівач Astoh Waterway VM 100</t>
  </si>
  <si>
    <t>Будівельні матеріали, газонокосарка електрична, сушарка для рук,штампи,печатки, медикаменти, миючі засоби, ковдра, подушка, матрац, наволочка, простирадло</t>
  </si>
  <si>
    <t>Наволочка, простирадло</t>
  </si>
  <si>
    <t>Вікно,конструкція фотофон,печатки,штампи., подушка, матрац, наволочка, простирадло</t>
  </si>
  <si>
    <t>ТОВ "Софіно"</t>
  </si>
  <si>
    <t>Подушка, ковдра, матрац топпер</t>
  </si>
  <si>
    <t>Подушка, ковдра</t>
  </si>
  <si>
    <t>щодо надходжень бюджетних установ   за листопад 2022 року</t>
  </si>
  <si>
    <t xml:space="preserve">Мішки, емаль біла, блакитна, жовта, пензель плоский, пензель універсальний, ванночка для фарби, уайт-спірит </t>
  </si>
  <si>
    <t>ЗЕЛЕНИЙ ЦЕНТР МЕТІНВЕСТ ГС</t>
  </si>
  <si>
    <t>щодо надходжень бюджетних установ   за грудень 2022 року</t>
  </si>
  <si>
    <t>Управління з питань надзвичайних ситуацій виконкому КМР</t>
  </si>
  <si>
    <t>Обігрівач електричний (промисловий тепловентилятор)</t>
  </si>
  <si>
    <t>Обігрівач електричний (промисловий тепловентилятор); генератор бензиновий</t>
  </si>
  <si>
    <t>Генератор бензиновий</t>
  </si>
  <si>
    <t>Скло віконне 4мм</t>
  </si>
  <si>
    <t>Дніпровська академія непреривної освіти</t>
  </si>
  <si>
    <t>ГО "Визвольний рух"</t>
  </si>
  <si>
    <t>Водонагрівач, пилосос Енергомаш,, Диван-пуф, стіл під комп'ютер, холодильник Libherr, стіл під комп'ютер, стіл для переговорів, шафа книжкова</t>
  </si>
  <si>
    <t>КМЦСС П.Дабіжа</t>
  </si>
  <si>
    <t>Ліхтар, памперси, серветки вологі, ковдра, стаани одноразові, мило рідке, аптечка, ложки одноразові, прокладки жіночі, засоби жін.гігієни, рушники паперові; Генератор бензиновий; батарейки, ліхтарі, подушки, фільтр для води;</t>
  </si>
  <si>
    <t>ГО "Егіда-Центр"</t>
  </si>
  <si>
    <t>Каністра для води, павербанк, лампа на сонячній батареї, термос</t>
  </si>
  <si>
    <t>Каністра для води, лампа на сонячній батареї, термос</t>
  </si>
  <si>
    <t>Каністра для води, лампа на сонячній батареї, термос,павербанк</t>
  </si>
  <si>
    <t>ТОВ "Сансервіс"</t>
  </si>
  <si>
    <t>ОСБ, брус, дошка</t>
  </si>
  <si>
    <t>батарейки, ложки одноразові, склянки одноразові, ліхтарик; ліхтарі малі + комп.батарейок, одноразовий посуд, мішки, комплект (ковдра, матрац, подушка), каністри 20л, пледи нові, подушки, мило рідке, паливо, матраци;фільтри</t>
  </si>
  <si>
    <t>Будівельні матеріали,лечатка,штамп, медикаменти, гігієнічні засоби, матраци односпальні, подушки, візочок,дез.засоби,  бойлер 100л., Електронагрівач Astoh Waterway VM 100</t>
  </si>
  <si>
    <t>праска б/у,подушка, матрац, наволочка, простирадла,ковдра, пральний порошок; фільтри; каністра для води, павербанк, лампа на сонячних батареях, термос; батарейки, посуд одноразовий, ліхтарик, комплект модульних матраців, мило рідке, підголовник для матраців; ліхтарик; ліхтарі малі + комп.батарейок, одноразовий посуд, мішки, комплект (ковдра, матрац, подушка), каністри 20л, пледи нові, подушки, мило рідке, паливо, матраци;</t>
  </si>
  <si>
    <t xml:space="preserve"> ліхтарик; ліхтарі малі + комп.батарейок, одноразовий посуд, мішки, комплект (ковдра, матрац, подушка), каністри 20л, пледи нові, подушки, мило рідке, рушник паперовий, памперси,паливо, матраци; батарейки, одноразовий посуд, ліхтарик, комплект модульних матраців, підголовник; фільтри</t>
  </si>
  <si>
    <t>Каністри для води,павербанк, лампа на сонячних батареях, термос</t>
  </si>
  <si>
    <t xml:space="preserve"> ковдра, подушка, матрац, наволочка, простирадло; ліхтар, памперси, серветки вологі, ковдра, одноразовий посуд, аптечка, прокладки, тампони, рушник паперовий, ліхтарик середній; батарейки, посуд одноразовий, ліхтарик, комплект модульних матраців, підголовник; фільтри</t>
  </si>
  <si>
    <t>Генератор бензиновий;батарейки, посуд одноразовий, ліхтарик, комплект модульних матраців, підголовник; ліхтар, памперси, серветки вологі, посуд одноразовий, фільтри, міщки, посуд одноразовий, подушки, ковдра, мило господарче, рушник паперовий</t>
  </si>
  <si>
    <t>Каністри, термоса, лампи на сонячних батарейках</t>
  </si>
  <si>
    <t>Каністри, термоса, лампи на сонячних батарейках,павербанк</t>
  </si>
  <si>
    <t>Генератор бензиновий; ліхтар, памперси, серветки, ковдра, посуд одноразовий, мило рідке, аптечки, прокладки, тампони, рушники паперові, туалетний папір, теплові пушки, матраци;фільтри для води, батарейки, посуд одноразовий, комплект модульних матраців, підголовник</t>
  </si>
  <si>
    <t>Подушка, ковдра; батарейки, посуд одноразовий, ліхтарик, комплекс модульних матраців; генератор бензиновий;матрац, теплова пушка; ліхтарі, серветки, ковдри, мило рідке, одноразовий посуд, аптечка, прокладки, тампони, рушник паперовий; фільтри для води</t>
  </si>
  <si>
    <t>Плита ОСБ</t>
  </si>
  <si>
    <t>Цемент, брус, блок газобетонний, цегла</t>
  </si>
  <si>
    <t>Аптечка, термоковдра</t>
  </si>
  <si>
    <t>Будівельна піна, плівка, тарпаулін</t>
  </si>
  <si>
    <t>Будівельна піна, плівка, тарпаулін, дошка, рейка</t>
  </si>
  <si>
    <t>Плита ОСБ; будівельні матеріали</t>
  </si>
  <si>
    <t>Українські гігєнічні набори;водонагрівач; набори для прибирання; плита ОСБ; будівельні матеріали; бак для води</t>
  </si>
  <si>
    <t>Українські гігєнічні набори;водонагрівач; набори для прибирання; будівельні матеріали; бак для води</t>
  </si>
  <si>
    <t>Українські гігєнічні набори; кулер для води; водонагрівач;набори для прибирання; матрац, подушка, постільна білизна, рушник, ковдра-дювет, гігієнічний набір жіночий, мило рідке, набір посуду; Генератор дизельний; будівельні матеріали; бак для води</t>
  </si>
  <si>
    <t>Українські гігєнічні набори;водонагрівач; набори для прибирання; бак для води</t>
  </si>
  <si>
    <t>Водонагрівач; бак для води</t>
  </si>
  <si>
    <t xml:space="preserve"> набір для раннього дитинства</t>
  </si>
  <si>
    <t>Папір туалетний,печатка, штамп кутовий,</t>
  </si>
  <si>
    <t>Водонагрівач;бак для води; скотч, тарпаулін</t>
  </si>
  <si>
    <t>набір для раннього дитинства</t>
  </si>
  <si>
    <t>Водонагрівач; бак для води; будівельні матеріали</t>
  </si>
  <si>
    <t>Українські гігєнічні набори;кулер для води; водонагрівач; набори для прибирання; матрац, подущка, постільна білизна,рушник, ковдра-дювет, мило рідке, набір посуду, гігієнічний набір жіночий; бак для води; будівельні матеріали</t>
  </si>
  <si>
    <t>Печатки,штампи., література</t>
  </si>
  <si>
    <t>ПАТ ПівнГЗК</t>
  </si>
  <si>
    <t>Дизельне пальне</t>
  </si>
  <si>
    <t>Бензин А95</t>
  </si>
  <si>
    <t>Дизельне пальне, бензин А95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</si>
</sst>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00"/>
    <numFmt numFmtId="190" formatCode="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64">
    <font>
      <sz val="11"/>
      <color theme="1"/>
      <name val="Calibri"/>
      <family val="2"/>
    </font>
    <font>
      <sz val="11"/>
      <color indexed="8"/>
      <name val="Calibri"/>
      <family val="2"/>
    </font>
    <font>
      <sz val="11"/>
      <color indexed="8"/>
      <name val="Times New Roman"/>
      <family val="1"/>
    </font>
    <font>
      <sz val="10"/>
      <color indexed="8"/>
      <name val="Times New Roman"/>
      <family val="1"/>
    </font>
    <font>
      <sz val="12"/>
      <color indexed="8"/>
      <name val="Times New Roman"/>
      <family val="1"/>
    </font>
    <font>
      <sz val="8"/>
      <name val="Calibri"/>
      <family val="2"/>
    </font>
    <font>
      <sz val="10"/>
      <name val="Arial"/>
      <family val="2"/>
    </font>
    <font>
      <sz val="10"/>
      <name val="Arial Cyr"/>
      <family val="0"/>
    </font>
    <font>
      <sz val="10"/>
      <name val="Times New Roman"/>
      <family val="1"/>
    </font>
    <font>
      <b/>
      <sz val="10"/>
      <color indexed="8"/>
      <name val="Times New Roman"/>
      <family val="1"/>
    </font>
    <font>
      <b/>
      <sz val="10"/>
      <name val="Times New Roman"/>
      <family val="1"/>
    </font>
    <font>
      <sz val="14"/>
      <color indexed="8"/>
      <name val="Times New Roman"/>
      <family val="1"/>
    </font>
    <font>
      <sz val="14"/>
      <name val="Times New Roman"/>
      <family val="1"/>
    </font>
    <font>
      <b/>
      <sz val="14"/>
      <color indexed="8"/>
      <name val="Times New Roman"/>
      <family val="1"/>
    </font>
    <font>
      <b/>
      <sz val="14"/>
      <name val="Times New Roman"/>
      <family val="1"/>
    </font>
    <font>
      <b/>
      <i/>
      <sz val="12"/>
      <color indexed="8"/>
      <name val="Times New Roman"/>
      <family val="1"/>
    </font>
    <font>
      <b/>
      <i/>
      <sz val="14"/>
      <color indexed="8"/>
      <name val="Times New Roman"/>
      <family val="1"/>
    </font>
    <font>
      <i/>
      <sz val="14"/>
      <color indexed="8"/>
      <name val="Times New Roman"/>
      <family val="1"/>
    </font>
    <font>
      <b/>
      <sz val="12"/>
      <color indexed="8"/>
      <name val="Times New Roman"/>
      <family val="1"/>
    </font>
    <font>
      <sz val="12"/>
      <name val="Times New Roman"/>
      <family val="1"/>
    </font>
    <font>
      <b/>
      <sz val="12"/>
      <name val="Times New Roman"/>
      <family val="1"/>
    </font>
    <font>
      <sz val="13"/>
      <name val="Times New Roman"/>
      <family val="1"/>
    </font>
    <font>
      <i/>
      <sz val="12"/>
      <color indexed="8"/>
      <name val="Times New Roman"/>
      <family val="1"/>
    </font>
    <font>
      <sz val="9"/>
      <name val="Times New Roman"/>
      <family val="1"/>
    </font>
    <font>
      <sz val="11"/>
      <name val="Times New Roman"/>
      <family val="1"/>
    </font>
    <font>
      <sz val="8"/>
      <color indexed="8"/>
      <name val="Times New Roman"/>
      <family val="1"/>
    </font>
    <font>
      <sz val="9"/>
      <color indexed="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style="medium"/>
    </border>
    <border>
      <left style="thin"/>
      <right style="thin"/>
      <top style="thin"/>
      <bottom style="thin"/>
    </border>
    <border>
      <left style="thin"/>
      <right/>
      <top style="thin"/>
      <bottom style="thin"/>
    </border>
    <border>
      <left style="thin"/>
      <right style="thin"/>
      <top style="thin"/>
      <bottom/>
    </border>
    <border>
      <left style="thin"/>
      <right/>
      <top style="thin"/>
      <bottom>
        <color indexed="63"/>
      </bottom>
    </border>
    <border>
      <left style="medium"/>
      <right style="thin"/>
      <top>
        <color indexed="63"/>
      </top>
      <bottom style="medium"/>
    </border>
    <border>
      <left style="thin"/>
      <right style="thin"/>
      <top>
        <color indexed="63"/>
      </top>
      <bottom style="medium"/>
    </border>
    <border>
      <left style="thin"/>
      <right/>
      <top style="medium"/>
      <bottom style="medium"/>
    </border>
    <border>
      <left style="thin"/>
      <right style="thin"/>
      <top/>
      <bottom style="thin"/>
    </border>
    <border>
      <left style="medium"/>
      <right style="thin"/>
      <top style="medium"/>
      <bottom style="medium"/>
    </border>
    <border>
      <left style="thin"/>
      <right style="thin"/>
      <top style="medium"/>
      <bottom style="medium"/>
    </border>
    <border>
      <left/>
      <right style="thin"/>
      <top style="thin"/>
      <bottom style="thin"/>
    </border>
    <border>
      <left>
        <color indexed="63"/>
      </left>
      <right>
        <color indexed="63"/>
      </right>
      <top style="medium"/>
      <bottom>
        <color indexed="63"/>
      </bottom>
    </border>
    <border>
      <left style="thin"/>
      <right/>
      <top>
        <color indexed="63"/>
      </top>
      <bottom style="thin"/>
    </border>
    <border>
      <left style="thin"/>
      <right/>
      <top>
        <color indexed="63"/>
      </top>
      <bottom style="medium"/>
    </border>
    <border>
      <left style="thin"/>
      <right style="thin"/>
      <top>
        <color indexed="63"/>
      </top>
      <bottom>
        <color indexed="63"/>
      </bottom>
    </border>
    <border>
      <left/>
      <right style="thin"/>
      <top style="thin"/>
      <bottom/>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7" fillId="0" borderId="0">
      <alignment/>
      <protection/>
    </xf>
    <xf numFmtId="0" fontId="6"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60" fillId="32" borderId="0" applyNumberFormat="0" applyBorder="0" applyAlignment="0" applyProtection="0"/>
  </cellStyleXfs>
  <cellXfs count="485">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Border="1" applyAlignment="1">
      <alignment vertical="center" wrapText="1"/>
    </xf>
    <xf numFmtId="0" fontId="3" fillId="0" borderId="0" xfId="0" applyFont="1" applyAlignment="1">
      <alignment vertical="center"/>
    </xf>
    <xf numFmtId="0" fontId="9" fillId="0" borderId="0" xfId="0" applyFont="1" applyBorder="1" applyAlignment="1">
      <alignment vertical="center" wrapText="1"/>
    </xf>
    <xf numFmtId="2" fontId="9" fillId="0" borderId="0" xfId="0" applyNumberFormat="1" applyFont="1" applyAlignment="1">
      <alignment vertical="center"/>
    </xf>
    <xf numFmtId="0" fontId="9" fillId="0" borderId="0" xfId="0" applyFont="1" applyAlignment="1">
      <alignment vertical="center"/>
    </xf>
    <xf numFmtId="2" fontId="3" fillId="0" borderId="0" xfId="0" applyNumberFormat="1" applyFont="1" applyAlignment="1">
      <alignment vertical="center"/>
    </xf>
    <xf numFmtId="0" fontId="10" fillId="0" borderId="10" xfId="0" applyFont="1" applyBorder="1" applyAlignment="1">
      <alignment vertical="center" wrapText="1"/>
    </xf>
    <xf numFmtId="0" fontId="10" fillId="0" borderId="10" xfId="0" applyFont="1" applyBorder="1" applyAlignment="1">
      <alignment vertical="center"/>
    </xf>
    <xf numFmtId="0" fontId="9" fillId="0" borderId="0" xfId="0" applyFont="1" applyBorder="1" applyAlignment="1">
      <alignment vertical="center"/>
    </xf>
    <xf numFmtId="0" fontId="8" fillId="0" borderId="10" xfId="0" applyFont="1" applyBorder="1" applyAlignment="1">
      <alignment vertical="center"/>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Border="1" applyAlignment="1">
      <alignment horizontal="center" wrapText="1"/>
    </xf>
    <xf numFmtId="2" fontId="12" fillId="0" borderId="12" xfId="0" applyNumberFormat="1" applyFont="1" applyFill="1" applyBorder="1" applyAlignment="1">
      <alignment horizontal="center"/>
    </xf>
    <xf numFmtId="0" fontId="11" fillId="0" borderId="11" xfId="0" applyFont="1" applyBorder="1" applyAlignment="1">
      <alignment horizontal="center" wrapText="1"/>
    </xf>
    <xf numFmtId="2" fontId="12" fillId="0" borderId="12" xfId="0" applyNumberFormat="1" applyFont="1" applyBorder="1" applyAlignment="1">
      <alignment horizontal="center"/>
    </xf>
    <xf numFmtId="2" fontId="11" fillId="0" borderId="11" xfId="0" applyNumberFormat="1" applyFont="1" applyBorder="1" applyAlignment="1">
      <alignment vertical="center"/>
    </xf>
    <xf numFmtId="0" fontId="11" fillId="0" borderId="11" xfId="0" applyFont="1" applyBorder="1" applyAlignment="1">
      <alignment vertical="center" wrapText="1"/>
    </xf>
    <xf numFmtId="0" fontId="13" fillId="0" borderId="11" xfId="0" applyFont="1" applyBorder="1" applyAlignment="1">
      <alignment vertical="center" wrapText="1"/>
    </xf>
    <xf numFmtId="2" fontId="14" fillId="0" borderId="12" xfId="0" applyNumberFormat="1" applyFont="1" applyFill="1" applyBorder="1" applyAlignment="1">
      <alignment horizontal="center"/>
    </xf>
    <xf numFmtId="0" fontId="13" fillId="0" borderId="11" xfId="0" applyFont="1" applyBorder="1" applyAlignment="1">
      <alignment horizontal="center" wrapText="1"/>
    </xf>
    <xf numFmtId="2" fontId="13" fillId="0" borderId="12" xfId="0" applyNumberFormat="1" applyFont="1" applyBorder="1" applyAlignment="1">
      <alignment horizontal="center"/>
    </xf>
    <xf numFmtId="2" fontId="13" fillId="0" borderId="11" xfId="0" applyNumberFormat="1" applyFont="1" applyBorder="1" applyAlignment="1">
      <alignment vertical="center"/>
    </xf>
    <xf numFmtId="0" fontId="11" fillId="0" borderId="12" xfId="0" applyFont="1" applyBorder="1" applyAlignment="1">
      <alignment horizontal="center" wrapText="1"/>
    </xf>
    <xf numFmtId="2" fontId="11" fillId="0" borderId="12" xfId="0" applyNumberFormat="1" applyFont="1" applyBorder="1" applyAlignment="1">
      <alignment horizontal="center"/>
    </xf>
    <xf numFmtId="0" fontId="14" fillId="0" borderId="12" xfId="0" applyFont="1" applyBorder="1" applyAlignment="1">
      <alignment horizontal="center" wrapText="1"/>
    </xf>
    <xf numFmtId="0" fontId="12" fillId="0" borderId="12" xfId="0" applyFont="1" applyBorder="1" applyAlignment="1">
      <alignment horizontal="center" wrapText="1"/>
    </xf>
    <xf numFmtId="2" fontId="12" fillId="0" borderId="11" xfId="0" applyNumberFormat="1" applyFont="1" applyBorder="1" applyAlignment="1">
      <alignment horizontal="left" vertical="center" wrapText="1"/>
    </xf>
    <xf numFmtId="2" fontId="14" fillId="0" borderId="11" xfId="0" applyNumberFormat="1" applyFont="1" applyBorder="1" applyAlignment="1">
      <alignment horizontal="left" vertical="center" wrapText="1"/>
    </xf>
    <xf numFmtId="2" fontId="12" fillId="0" borderId="12" xfId="53" applyNumberFormat="1" applyFont="1" applyFill="1" applyBorder="1" applyAlignment="1">
      <alignment horizontal="center" vertical="center" wrapText="1"/>
      <protection/>
    </xf>
    <xf numFmtId="0" fontId="14" fillId="0" borderId="11" xfId="53" applyFont="1" applyBorder="1" applyAlignment="1">
      <alignment horizontal="left" vertical="center" wrapText="1"/>
      <protection/>
    </xf>
    <xf numFmtId="0" fontId="12" fillId="0" borderId="11" xfId="0" applyFont="1" applyBorder="1" applyAlignment="1">
      <alignment horizontal="left" vertical="center" wrapText="1"/>
    </xf>
    <xf numFmtId="2" fontId="11" fillId="0" borderId="11" xfId="0" applyNumberFormat="1" applyFont="1" applyBorder="1" applyAlignment="1">
      <alignment vertical="center" wrapText="1"/>
    </xf>
    <xf numFmtId="2" fontId="11" fillId="0" borderId="12" xfId="0" applyNumberFormat="1" applyFont="1" applyBorder="1" applyAlignment="1">
      <alignment horizontal="center" vertical="center"/>
    </xf>
    <xf numFmtId="2" fontId="11" fillId="0" borderId="11" xfId="0" applyNumberFormat="1" applyFont="1" applyBorder="1" applyAlignment="1">
      <alignment horizontal="center" vertical="center"/>
    </xf>
    <xf numFmtId="0" fontId="12" fillId="0" borderId="11" xfId="0" applyFont="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2" fontId="12" fillId="0" borderId="11" xfId="0" applyNumberFormat="1" applyFont="1" applyFill="1" applyBorder="1" applyAlignment="1">
      <alignment horizontal="center"/>
    </xf>
    <xf numFmtId="2" fontId="14" fillId="0" borderId="11" xfId="0" applyNumberFormat="1" applyFont="1" applyFill="1" applyBorder="1" applyAlignment="1">
      <alignment horizontal="center"/>
    </xf>
    <xf numFmtId="0" fontId="12" fillId="0" borderId="13" xfId="0" applyFont="1" applyBorder="1" applyAlignment="1">
      <alignment horizontal="center" wrapText="1"/>
    </xf>
    <xf numFmtId="0" fontId="12" fillId="0" borderId="13" xfId="0" applyFont="1" applyBorder="1" applyAlignment="1">
      <alignment horizontal="center" vertical="center" wrapText="1"/>
    </xf>
    <xf numFmtId="2" fontId="11" fillId="0" borderId="14" xfId="0" applyNumberFormat="1" applyFont="1" applyBorder="1" applyAlignment="1">
      <alignment horizontal="center" vertical="center"/>
    </xf>
    <xf numFmtId="0" fontId="14" fillId="0" borderId="15" xfId="0" applyFont="1" applyBorder="1" applyAlignment="1">
      <alignment vertical="center" wrapText="1"/>
    </xf>
    <xf numFmtId="2" fontId="14" fillId="0" borderId="16" xfId="0" applyNumberFormat="1" applyFont="1" applyFill="1" applyBorder="1" applyAlignment="1">
      <alignment horizontal="center" vertical="center" wrapText="1"/>
    </xf>
    <xf numFmtId="2" fontId="14" fillId="0" borderId="17" xfId="53" applyNumberFormat="1" applyFont="1" applyFill="1" applyBorder="1" applyAlignment="1">
      <alignment horizontal="center" vertical="center" wrapText="1"/>
      <protection/>
    </xf>
    <xf numFmtId="2" fontId="13" fillId="0" borderId="17" xfId="0" applyNumberFormat="1" applyFont="1" applyBorder="1" applyAlignment="1">
      <alignment horizontal="center" vertical="center" wrapText="1"/>
    </xf>
    <xf numFmtId="2" fontId="12" fillId="0" borderId="18" xfId="0" applyNumberFormat="1" applyFont="1" applyBorder="1" applyAlignment="1">
      <alignment horizontal="center" vertical="center" wrapText="1"/>
    </xf>
    <xf numFmtId="2" fontId="14" fillId="0" borderId="11" xfId="0" applyNumberFormat="1" applyFont="1" applyBorder="1" applyAlignment="1">
      <alignment horizontal="center" vertical="center" wrapText="1"/>
    </xf>
    <xf numFmtId="2" fontId="13" fillId="0" borderId="12" xfId="0" applyNumberFormat="1" applyFont="1" applyBorder="1" applyAlignment="1">
      <alignment horizontal="center" vertical="center" wrapText="1"/>
    </xf>
    <xf numFmtId="2" fontId="12"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 fontId="13"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2" fontId="12" fillId="0" borderId="12"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2" fontId="12" fillId="0" borderId="12" xfId="0" applyNumberFormat="1" applyFont="1" applyFill="1" applyBorder="1" applyAlignment="1">
      <alignment horizontal="center" wrapText="1"/>
    </xf>
    <xf numFmtId="2" fontId="14" fillId="0" borderId="12" xfId="0" applyNumberFormat="1" applyFont="1" applyFill="1" applyBorder="1" applyAlignment="1">
      <alignment horizontal="center" wrapText="1"/>
    </xf>
    <xf numFmtId="0" fontId="14" fillId="0" borderId="19" xfId="0" applyFont="1" applyBorder="1" applyAlignment="1">
      <alignment vertical="center" wrapText="1"/>
    </xf>
    <xf numFmtId="2" fontId="14" fillId="0" borderId="20" xfId="0" applyNumberFormat="1" applyFont="1" applyFill="1" applyBorder="1" applyAlignment="1">
      <alignment horizontal="center" vertical="center" wrapText="1"/>
    </xf>
    <xf numFmtId="0" fontId="13" fillId="0" borderId="19" xfId="0" applyFont="1" applyBorder="1" applyAlignment="1">
      <alignment vertical="center" wrapText="1"/>
    </xf>
    <xf numFmtId="2" fontId="13" fillId="0" borderId="20" xfId="0" applyNumberFormat="1" applyFont="1" applyFill="1" applyBorder="1" applyAlignment="1">
      <alignment horizontal="center" vertical="center" wrapText="1"/>
    </xf>
    <xf numFmtId="0" fontId="11" fillId="0" borderId="0" xfId="0" applyFont="1" applyBorder="1" applyAlignment="1">
      <alignment horizontal="left" vertical="center"/>
    </xf>
    <xf numFmtId="0" fontId="13" fillId="0" borderId="0" xfId="0" applyFont="1" applyBorder="1" applyAlignment="1">
      <alignment horizontal="left" vertical="center"/>
    </xf>
    <xf numFmtId="0" fontId="11" fillId="0" borderId="0" xfId="0" applyFont="1" applyBorder="1" applyAlignment="1">
      <alignment vertical="center"/>
    </xf>
    <xf numFmtId="2" fontId="13" fillId="0" borderId="11" xfId="0" applyNumberFormat="1" applyFont="1" applyBorder="1" applyAlignment="1">
      <alignment horizontal="center" vertical="center"/>
    </xf>
    <xf numFmtId="2" fontId="12" fillId="0" borderId="11" xfId="0" applyNumberFormat="1" applyFont="1" applyBorder="1" applyAlignment="1">
      <alignment horizontal="center" wrapText="1"/>
    </xf>
    <xf numFmtId="2" fontId="12" fillId="0" borderId="21" xfId="0" applyNumberFormat="1" applyFont="1" applyBorder="1" applyAlignment="1">
      <alignment horizontal="center" vertical="center" wrapText="1"/>
    </xf>
    <xf numFmtId="2" fontId="13" fillId="0" borderId="0" xfId="0" applyNumberFormat="1" applyFont="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wrapText="1"/>
    </xf>
    <xf numFmtId="2" fontId="14" fillId="0" borderId="20" xfId="0" applyNumberFormat="1" applyFont="1" applyBorder="1" applyAlignment="1">
      <alignment horizontal="center" vertical="center"/>
    </xf>
    <xf numFmtId="0" fontId="14" fillId="0" borderId="20" xfId="0" applyFont="1" applyBorder="1" applyAlignment="1">
      <alignment horizontal="center" vertical="center" wrapText="1"/>
    </xf>
    <xf numFmtId="2" fontId="14" fillId="0" borderId="20" xfId="0" applyNumberFormat="1" applyFont="1" applyBorder="1" applyAlignment="1">
      <alignment horizontal="center" vertical="center" wrapText="1"/>
    </xf>
    <xf numFmtId="0" fontId="14" fillId="0" borderId="18" xfId="0" applyFont="1" applyBorder="1" applyAlignment="1">
      <alignment horizontal="center" vertical="center" wrapText="1"/>
    </xf>
    <xf numFmtId="2" fontId="11" fillId="0" borderId="18" xfId="0" applyNumberFormat="1" applyFont="1" applyBorder="1" applyAlignment="1">
      <alignment horizontal="center" vertical="center"/>
    </xf>
    <xf numFmtId="0" fontId="13" fillId="0" borderId="18" xfId="0" applyFont="1" applyBorder="1" applyAlignment="1">
      <alignment horizontal="center" vertical="center" wrapText="1"/>
    </xf>
    <xf numFmtId="0" fontId="13" fillId="0" borderId="11" xfId="0" applyFont="1" applyBorder="1" applyAlignment="1">
      <alignment horizontal="center" vertical="center"/>
    </xf>
    <xf numFmtId="0" fontId="13" fillId="0" borderId="0" xfId="0" applyFont="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13" fillId="0" borderId="11"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1" fillId="0" borderId="11" xfId="0" applyFont="1" applyBorder="1" applyAlignment="1">
      <alignment horizontal="left" vertical="center" wrapText="1"/>
    </xf>
    <xf numFmtId="0" fontId="13" fillId="0" borderId="11" xfId="0" applyFont="1" applyBorder="1" applyAlignment="1">
      <alignment horizontal="left" vertical="center" wrapText="1"/>
    </xf>
    <xf numFmtId="0" fontId="11" fillId="0" borderId="11" xfId="0" applyFont="1" applyBorder="1" applyAlignment="1">
      <alignment horizontal="left" vertical="center"/>
    </xf>
    <xf numFmtId="0" fontId="11" fillId="0" borderId="13" xfId="0" applyFont="1" applyBorder="1" applyAlignment="1">
      <alignment horizontal="left" vertical="center" wrapText="1"/>
    </xf>
    <xf numFmtId="0" fontId="14" fillId="0" borderId="20" xfId="0" applyFont="1" applyBorder="1" applyAlignment="1">
      <alignment horizontal="left" vertical="center" wrapText="1"/>
    </xf>
    <xf numFmtId="0" fontId="13" fillId="0" borderId="11" xfId="0" applyFont="1" applyBorder="1" applyAlignment="1">
      <alignment horizontal="left" vertical="center"/>
    </xf>
    <xf numFmtId="0" fontId="13" fillId="0" borderId="0" xfId="0" applyFont="1" applyAlignment="1">
      <alignment horizontal="left" vertical="center"/>
    </xf>
    <xf numFmtId="2" fontId="14" fillId="0" borderId="20" xfId="0" applyNumberFormat="1" applyFont="1" applyFill="1" applyBorder="1" applyAlignment="1">
      <alignment horizontal="left" vertical="center" wrapText="1"/>
    </xf>
    <xf numFmtId="2" fontId="13" fillId="0" borderId="20" xfId="0" applyNumberFormat="1" applyFont="1" applyFill="1" applyBorder="1" applyAlignment="1">
      <alignment horizontal="left" vertical="center" wrapText="1"/>
    </xf>
    <xf numFmtId="2" fontId="12" fillId="0" borderId="12" xfId="0" applyNumberFormat="1" applyFont="1" applyBorder="1" applyAlignment="1">
      <alignment horizontal="left"/>
    </xf>
    <xf numFmtId="0" fontId="16" fillId="0" borderId="0" xfId="0" applyFont="1" applyAlignment="1">
      <alignment horizontal="left" vertical="center"/>
    </xf>
    <xf numFmtId="0" fontId="16" fillId="0" borderId="22" xfId="0" applyFont="1" applyBorder="1" applyAlignment="1">
      <alignment vertical="center"/>
    </xf>
    <xf numFmtId="0" fontId="11" fillId="0" borderId="13" xfId="0" applyFont="1" applyBorder="1" applyAlignment="1">
      <alignment horizontal="center" wrapText="1"/>
    </xf>
    <xf numFmtId="0" fontId="13" fillId="0" borderId="13" xfId="0" applyFont="1" applyBorder="1" applyAlignment="1">
      <alignment horizontal="left" vertical="center" wrapText="1"/>
    </xf>
    <xf numFmtId="0" fontId="13" fillId="0" borderId="18" xfId="0" applyFont="1" applyBorder="1" applyAlignment="1">
      <alignment horizontal="left" vertical="center" wrapText="1"/>
    </xf>
    <xf numFmtId="2" fontId="11" fillId="0" borderId="14" xfId="0" applyNumberFormat="1" applyFont="1" applyBorder="1" applyAlignment="1">
      <alignment horizontal="center"/>
    </xf>
    <xf numFmtId="2" fontId="13" fillId="0" borderId="13" xfId="0" applyNumberFormat="1" applyFont="1" applyBorder="1" applyAlignment="1">
      <alignment vertical="center"/>
    </xf>
    <xf numFmtId="2" fontId="13" fillId="0" borderId="13" xfId="0" applyNumberFormat="1" applyFont="1" applyBorder="1" applyAlignment="1">
      <alignment vertical="center" wrapText="1"/>
    </xf>
    <xf numFmtId="0" fontId="13" fillId="0" borderId="13" xfId="0" applyFont="1" applyBorder="1" applyAlignment="1">
      <alignment vertical="center" wrapText="1"/>
    </xf>
    <xf numFmtId="0" fontId="11" fillId="0" borderId="18" xfId="0" applyFont="1" applyBorder="1" applyAlignment="1">
      <alignment horizontal="center" vertical="center" wrapText="1"/>
    </xf>
    <xf numFmtId="2" fontId="11" fillId="0" borderId="23" xfId="0" applyNumberFormat="1" applyFont="1" applyBorder="1" applyAlignment="1">
      <alignment horizontal="center" vertical="center"/>
    </xf>
    <xf numFmtId="2" fontId="13" fillId="0" borderId="18" xfId="0" applyNumberFormat="1" applyFont="1" applyBorder="1" applyAlignment="1">
      <alignment horizontal="center" vertical="center"/>
    </xf>
    <xf numFmtId="2" fontId="11" fillId="0" borderId="11" xfId="0" applyNumberFormat="1" applyFont="1" applyBorder="1" applyAlignment="1">
      <alignment horizontal="center"/>
    </xf>
    <xf numFmtId="0" fontId="11" fillId="0" borderId="11" xfId="0" applyFont="1" applyFill="1" applyBorder="1" applyAlignment="1">
      <alignment horizontal="left" vertical="center" wrapText="1"/>
    </xf>
    <xf numFmtId="0" fontId="11" fillId="0" borderId="0" xfId="0" applyFont="1" applyBorder="1" applyAlignment="1">
      <alignment vertical="center" wrapText="1"/>
    </xf>
    <xf numFmtId="0" fontId="11" fillId="0" borderId="0" xfId="0" applyFont="1" applyAlignment="1">
      <alignment vertical="center"/>
    </xf>
    <xf numFmtId="0" fontId="13" fillId="0" borderId="0" xfId="0" applyFont="1" applyBorder="1" applyAlignment="1">
      <alignment vertical="center" wrapText="1"/>
    </xf>
    <xf numFmtId="2" fontId="13" fillId="0" borderId="0" xfId="0" applyNumberFormat="1" applyFont="1" applyAlignment="1">
      <alignment vertical="center"/>
    </xf>
    <xf numFmtId="0" fontId="13" fillId="0" borderId="0" xfId="0" applyFont="1" applyAlignment="1">
      <alignment vertical="center"/>
    </xf>
    <xf numFmtId="2" fontId="11" fillId="0" borderId="0" xfId="0" applyNumberFormat="1" applyFont="1" applyAlignment="1">
      <alignment vertical="center"/>
    </xf>
    <xf numFmtId="0" fontId="14" fillId="0" borderId="10" xfId="0" applyFont="1" applyBorder="1" applyAlignment="1">
      <alignment vertical="center" wrapText="1"/>
    </xf>
    <xf numFmtId="0" fontId="14" fillId="0" borderId="10" xfId="0" applyFont="1" applyBorder="1" applyAlignment="1">
      <alignment vertical="center"/>
    </xf>
    <xf numFmtId="0" fontId="13" fillId="0" borderId="0" xfId="0" applyFont="1" applyBorder="1" applyAlignment="1">
      <alignment vertical="center"/>
    </xf>
    <xf numFmtId="0" fontId="12" fillId="0" borderId="10" xfId="0" applyFont="1" applyBorder="1" applyAlignment="1">
      <alignment vertical="center"/>
    </xf>
    <xf numFmtId="2" fontId="4" fillId="0" borderId="0" xfId="0" applyNumberFormat="1" applyFont="1" applyAlignment="1">
      <alignment/>
    </xf>
    <xf numFmtId="2" fontId="18" fillId="0" borderId="0" xfId="0" applyNumberFormat="1" applyFont="1" applyAlignment="1">
      <alignment/>
    </xf>
    <xf numFmtId="0" fontId="14" fillId="0" borderId="16" xfId="0" applyFont="1" applyFill="1" applyBorder="1" applyAlignment="1">
      <alignment horizontal="left" vertical="center" wrapText="1"/>
    </xf>
    <xf numFmtId="2" fontId="14" fillId="0" borderId="24" xfId="53" applyNumberFormat="1" applyFont="1" applyFill="1" applyBorder="1" applyAlignment="1">
      <alignment horizontal="center" vertical="center" wrapText="1"/>
      <protection/>
    </xf>
    <xf numFmtId="2" fontId="13" fillId="0" borderId="24" xfId="0" applyNumberFormat="1" applyFont="1" applyBorder="1" applyAlignment="1">
      <alignment horizontal="center" vertical="center" wrapText="1"/>
    </xf>
    <xf numFmtId="0" fontId="14" fillId="0" borderId="16" xfId="0" applyFont="1" applyBorder="1" applyAlignment="1">
      <alignment horizontal="left" vertical="center" wrapText="1"/>
    </xf>
    <xf numFmtId="2"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2" fontId="13" fillId="0" borderId="11" xfId="0" applyNumberFormat="1" applyFont="1" applyBorder="1" applyAlignment="1">
      <alignment/>
    </xf>
    <xf numFmtId="0" fontId="11" fillId="0" borderId="12" xfId="0" applyFont="1" applyBorder="1" applyAlignment="1">
      <alignment horizontal="center" vertical="center" wrapText="1"/>
    </xf>
    <xf numFmtId="2" fontId="4" fillId="0" borderId="0" xfId="0" applyNumberFormat="1" applyFont="1" applyAlignment="1">
      <alignment horizontal="center"/>
    </xf>
    <xf numFmtId="2" fontId="4" fillId="0" borderId="11" xfId="0" applyNumberFormat="1" applyFont="1" applyBorder="1" applyAlignment="1">
      <alignment/>
    </xf>
    <xf numFmtId="0" fontId="20" fillId="0" borderId="16"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1" xfId="0" applyFont="1" applyBorder="1" applyAlignment="1">
      <alignment horizontal="left" vertical="center" wrapText="1"/>
    </xf>
    <xf numFmtId="2" fontId="11" fillId="0" borderId="11" xfId="0" applyNumberFormat="1" applyFont="1" applyBorder="1" applyAlignment="1">
      <alignment/>
    </xf>
    <xf numFmtId="2" fontId="4" fillId="0" borderId="12" xfId="0" applyNumberFormat="1" applyFont="1" applyBorder="1" applyAlignment="1">
      <alignment horizontal="center" vertical="center" wrapText="1"/>
    </xf>
    <xf numFmtId="2" fontId="4" fillId="0" borderId="12"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18" fillId="0" borderId="24" xfId="0" applyNumberFormat="1" applyFont="1" applyBorder="1" applyAlignment="1">
      <alignment horizontal="center" vertical="center" wrapText="1"/>
    </xf>
    <xf numFmtId="0" fontId="20" fillId="0" borderId="18" xfId="0" applyFont="1" applyBorder="1" applyAlignment="1">
      <alignment horizontal="center" vertical="center" wrapText="1"/>
    </xf>
    <xf numFmtId="2" fontId="18" fillId="0" borderId="12" xfId="0"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8" fillId="0" borderId="11" xfId="0" applyFont="1" applyBorder="1" applyAlignment="1">
      <alignment horizontal="center" vertical="center"/>
    </xf>
    <xf numFmtId="2" fontId="18" fillId="0" borderId="11" xfId="0" applyNumberFormat="1" applyFont="1" applyBorder="1" applyAlignment="1">
      <alignment horizontal="center" vertical="center" wrapText="1"/>
    </xf>
    <xf numFmtId="2"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12"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2" fontId="12" fillId="33" borderId="11" xfId="0" applyNumberFormat="1" applyFont="1" applyFill="1" applyBorder="1" applyAlignment="1">
      <alignment horizontal="center" vertical="center" wrapText="1"/>
    </xf>
    <xf numFmtId="2" fontId="12" fillId="33" borderId="12" xfId="0" applyNumberFormat="1" applyFont="1" applyFill="1" applyBorder="1" applyAlignment="1">
      <alignment horizontal="center" vertical="center"/>
    </xf>
    <xf numFmtId="2" fontId="12" fillId="33" borderId="12" xfId="0" applyNumberFormat="1" applyFont="1" applyFill="1" applyBorder="1" applyAlignment="1">
      <alignment horizontal="center" vertical="center" wrapText="1"/>
    </xf>
    <xf numFmtId="0" fontId="12" fillId="33" borderId="11" xfId="0" applyFont="1" applyFill="1" applyBorder="1" applyAlignment="1">
      <alignment horizontal="left" vertical="center" wrapText="1"/>
    </xf>
    <xf numFmtId="0" fontId="16" fillId="0" borderId="0" xfId="0" applyFont="1" applyAlignment="1">
      <alignment vertical="center"/>
    </xf>
    <xf numFmtId="0" fontId="12" fillId="0" borderId="13" xfId="0" applyFont="1" applyBorder="1" applyAlignment="1">
      <alignment horizontal="left" vertical="center" wrapText="1"/>
    </xf>
    <xf numFmtId="0" fontId="12" fillId="0" borderId="18" xfId="0" applyFont="1" applyBorder="1" applyAlignment="1">
      <alignment vertical="center" wrapText="1"/>
    </xf>
    <xf numFmtId="0" fontId="12" fillId="0" borderId="11" xfId="0" applyFont="1" applyBorder="1" applyAlignment="1">
      <alignment vertical="center" wrapText="1"/>
    </xf>
    <xf numFmtId="2" fontId="12" fillId="0" borderId="12" xfId="0" applyNumberFormat="1" applyFont="1" applyFill="1" applyBorder="1" applyAlignment="1">
      <alignment horizontal="center" vertical="center"/>
    </xf>
    <xf numFmtId="2" fontId="12" fillId="0" borderId="12" xfId="0" applyNumberFormat="1" applyFont="1" applyBorder="1" applyAlignment="1">
      <alignment horizontal="center" vertical="center" wrapText="1"/>
    </xf>
    <xf numFmtId="0" fontId="12" fillId="0" borderId="18" xfId="0" applyFont="1" applyBorder="1" applyAlignment="1">
      <alignment horizontal="right" vertical="center" wrapText="1"/>
    </xf>
    <xf numFmtId="2" fontId="14" fillId="0" borderId="12" xfId="0" applyNumberFormat="1" applyFont="1" applyFill="1" applyBorder="1" applyAlignment="1">
      <alignment horizontal="center" vertical="center"/>
    </xf>
    <xf numFmtId="0" fontId="12" fillId="0" borderId="12" xfId="0" applyFont="1" applyBorder="1" applyAlignment="1">
      <alignment horizontal="center" vertical="center" wrapText="1"/>
    </xf>
    <xf numFmtId="2" fontId="12" fillId="0" borderId="11" xfId="0" applyNumberFormat="1" applyFont="1" applyFill="1" applyBorder="1" applyAlignment="1">
      <alignment horizontal="center" vertical="center"/>
    </xf>
    <xf numFmtId="0" fontId="14" fillId="0" borderId="11" xfId="0" applyFont="1" applyBorder="1" applyAlignment="1">
      <alignment horizontal="left" wrapText="1"/>
    </xf>
    <xf numFmtId="2" fontId="12" fillId="0" borderId="11" xfId="0" applyNumberFormat="1" applyFont="1" applyFill="1" applyBorder="1" applyAlignment="1">
      <alignment horizontal="center" vertical="center" wrapText="1"/>
    </xf>
    <xf numFmtId="0" fontId="4" fillId="0" borderId="0" xfId="0" applyFont="1" applyBorder="1" applyAlignment="1">
      <alignment vertical="center"/>
    </xf>
    <xf numFmtId="2" fontId="9" fillId="0" borderId="0" xfId="0" applyNumberFormat="1" applyFont="1" applyBorder="1" applyAlignment="1">
      <alignment vertical="center"/>
    </xf>
    <xf numFmtId="2" fontId="3" fillId="0" borderId="0" xfId="0" applyNumberFormat="1"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8" fillId="0" borderId="0" xfId="0" applyFont="1" applyBorder="1" applyAlignment="1">
      <alignment vertical="center"/>
    </xf>
    <xf numFmtId="2" fontId="12" fillId="0" borderId="11" xfId="0" applyNumberFormat="1" applyFont="1" applyBorder="1" applyAlignment="1">
      <alignment horizontal="center"/>
    </xf>
    <xf numFmtId="2" fontId="12" fillId="0" borderId="11" xfId="0" applyNumberFormat="1" applyFont="1" applyBorder="1" applyAlignment="1">
      <alignment horizontal="left"/>
    </xf>
    <xf numFmtId="2" fontId="13" fillId="0" borderId="11" xfId="0" applyNumberFormat="1" applyFont="1" applyBorder="1" applyAlignment="1">
      <alignment horizontal="center"/>
    </xf>
    <xf numFmtId="0" fontId="14" fillId="0" borderId="11" xfId="0" applyFont="1" applyBorder="1" applyAlignment="1">
      <alignment horizontal="center" wrapText="1"/>
    </xf>
    <xf numFmtId="2" fontId="12" fillId="0" borderId="11" xfId="53" applyNumberFormat="1" applyFont="1" applyFill="1" applyBorder="1" applyAlignment="1">
      <alignment horizontal="center" vertical="center" wrapText="1"/>
      <protection/>
    </xf>
    <xf numFmtId="2" fontId="13" fillId="0" borderId="11" xfId="0" applyNumberFormat="1" applyFont="1" applyBorder="1" applyAlignment="1">
      <alignment vertical="center" wrapText="1"/>
    </xf>
    <xf numFmtId="2" fontId="14" fillId="0" borderId="11" xfId="0" applyNumberFormat="1" applyFont="1" applyFill="1" applyBorder="1" applyAlignment="1">
      <alignment horizontal="center" vertical="center"/>
    </xf>
    <xf numFmtId="0" fontId="14" fillId="0" borderId="11" xfId="0" applyFont="1" applyBorder="1" applyAlignment="1">
      <alignment vertical="center" wrapText="1"/>
    </xf>
    <xf numFmtId="2" fontId="14" fillId="0" borderId="11" xfId="0" applyNumberFormat="1" applyFont="1" applyFill="1" applyBorder="1" applyAlignment="1">
      <alignment horizontal="center" vertical="center" wrapText="1"/>
    </xf>
    <xf numFmtId="2" fontId="14" fillId="0" borderId="11" xfId="53" applyNumberFormat="1" applyFont="1" applyFill="1" applyBorder="1" applyAlignment="1">
      <alignment horizontal="center" vertical="center" wrapText="1"/>
      <protection/>
    </xf>
    <xf numFmtId="2" fontId="14"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2" fontId="12" fillId="33" borderId="11" xfId="0" applyNumberFormat="1" applyFont="1" applyFill="1" applyBorder="1" applyAlignment="1">
      <alignment horizontal="center" vertical="center"/>
    </xf>
    <xf numFmtId="2" fontId="12" fillId="0" borderId="11" xfId="0" applyNumberFormat="1" applyFont="1" applyFill="1" applyBorder="1" applyAlignment="1">
      <alignment horizontal="center" wrapText="1"/>
    </xf>
    <xf numFmtId="0" fontId="12" fillId="0" borderId="11" xfId="0" applyFont="1" applyBorder="1" applyAlignment="1">
      <alignment horizontal="right" vertical="center" wrapText="1"/>
    </xf>
    <xf numFmtId="2" fontId="14" fillId="0" borderId="11" xfId="0" applyNumberFormat="1" applyFont="1" applyFill="1" applyBorder="1" applyAlignment="1">
      <alignment horizontal="center" wrapText="1"/>
    </xf>
    <xf numFmtId="2" fontId="14" fillId="0" borderId="11" xfId="0" applyNumberFormat="1" applyFont="1" applyFill="1" applyBorder="1" applyAlignment="1">
      <alignment horizontal="left" vertical="center" wrapText="1"/>
    </xf>
    <xf numFmtId="2" fontId="13" fillId="0" borderId="11" xfId="0" applyNumberFormat="1" applyFont="1" applyFill="1" applyBorder="1" applyAlignment="1">
      <alignment horizontal="center" vertical="center" wrapText="1"/>
    </xf>
    <xf numFmtId="2" fontId="13" fillId="0" borderId="11"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21" fillId="0" borderId="11" xfId="0" applyFont="1" applyFill="1" applyBorder="1" applyAlignment="1">
      <alignment horizontal="left" vertical="center" wrapText="1"/>
    </xf>
    <xf numFmtId="2" fontId="11" fillId="0" borderId="18" xfId="0" applyNumberFormat="1" applyFont="1" applyBorder="1" applyAlignment="1">
      <alignment vertical="center" wrapText="1"/>
    </xf>
    <xf numFmtId="0" fontId="12" fillId="0" borderId="11" xfId="0" applyFont="1" applyBorder="1" applyAlignment="1">
      <alignment horizontal="right" vertical="top" wrapText="1"/>
    </xf>
    <xf numFmtId="0" fontId="12" fillId="0" borderId="11" xfId="0" applyFont="1" applyBorder="1" applyAlignment="1">
      <alignment horizontal="center" vertical="top" wrapText="1"/>
    </xf>
    <xf numFmtId="0" fontId="21" fillId="0" borderId="11" xfId="0" applyNumberFormat="1" applyFont="1" applyBorder="1" applyAlignment="1">
      <alignment horizontal="left" vertical="center" wrapText="1"/>
    </xf>
    <xf numFmtId="2" fontId="4" fillId="0" borderId="13"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vertical="center" wrapText="1"/>
    </xf>
    <xf numFmtId="0" fontId="4" fillId="0" borderId="13" xfId="0" applyFont="1" applyFill="1" applyBorder="1" applyAlignment="1">
      <alignment horizontal="left" vertical="center" wrapText="1"/>
    </xf>
    <xf numFmtId="0" fontId="19" fillId="0" borderId="11" xfId="0" applyFont="1" applyBorder="1" applyAlignment="1">
      <alignment horizontal="right" vertical="center" wrapText="1"/>
    </xf>
    <xf numFmtId="0" fontId="4" fillId="0" borderId="11" xfId="0" applyFont="1" applyFill="1" applyBorder="1" applyAlignment="1">
      <alignment horizontal="left" vertical="center" wrapText="1"/>
    </xf>
    <xf numFmtId="2" fontId="20" fillId="0" borderId="11" xfId="0" applyNumberFormat="1" applyFont="1" applyFill="1" applyBorder="1" applyAlignment="1">
      <alignment horizontal="center" vertical="center" wrapText="1"/>
    </xf>
    <xf numFmtId="2" fontId="18" fillId="0" borderId="11" xfId="0" applyNumberFormat="1"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left" vertical="center"/>
    </xf>
    <xf numFmtId="0" fontId="2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5" fillId="0" borderId="0" xfId="0" applyFont="1" applyAlignment="1">
      <alignment vertical="center"/>
    </xf>
    <xf numFmtId="0" fontId="4" fillId="0" borderId="11" xfId="0" applyFont="1" applyBorder="1" applyAlignment="1">
      <alignment vertical="center" wrapText="1"/>
    </xf>
    <xf numFmtId="0" fontId="18" fillId="0" borderId="11" xfId="0" applyFont="1" applyBorder="1" applyAlignment="1">
      <alignment vertical="center" wrapText="1"/>
    </xf>
    <xf numFmtId="0" fontId="4" fillId="0" borderId="11" xfId="0" applyFont="1" applyBorder="1" applyAlignment="1">
      <alignment horizontal="left" vertical="center" wrapText="1"/>
    </xf>
    <xf numFmtId="0" fontId="18" fillId="0" borderId="11" xfId="0" applyFont="1" applyBorder="1" applyAlignment="1">
      <alignment horizontal="center" vertical="center" wrapText="1"/>
    </xf>
    <xf numFmtId="0" fontId="4" fillId="0" borderId="0" xfId="0" applyFont="1" applyBorder="1" applyAlignment="1">
      <alignment horizontal="left" vertical="center"/>
    </xf>
    <xf numFmtId="0" fontId="18" fillId="0" borderId="13" xfId="0" applyFont="1" applyFill="1" applyBorder="1" applyAlignment="1">
      <alignment horizontal="left" vertical="center" wrapText="1"/>
    </xf>
    <xf numFmtId="0" fontId="19" fillId="0" borderId="13" xfId="0" applyFont="1" applyBorder="1" applyAlignment="1">
      <alignment horizontal="left" vertical="center" wrapText="1"/>
    </xf>
    <xf numFmtId="0" fontId="4" fillId="0" borderId="0" xfId="0" applyFont="1" applyBorder="1" applyAlignment="1">
      <alignment vertical="center" wrapText="1"/>
    </xf>
    <xf numFmtId="2" fontId="4" fillId="0" borderId="11" xfId="0" applyNumberFormat="1" applyFont="1" applyBorder="1" applyAlignment="1">
      <alignment vertical="center"/>
    </xf>
    <xf numFmtId="2" fontId="4" fillId="0" borderId="11" xfId="0" applyNumberFormat="1" applyFont="1" applyBorder="1" applyAlignment="1">
      <alignment vertical="center" wrapText="1"/>
    </xf>
    <xf numFmtId="2" fontId="20" fillId="0" borderId="11" xfId="0" applyNumberFormat="1" applyFont="1" applyFill="1" applyBorder="1" applyAlignment="1">
      <alignment horizontal="center"/>
    </xf>
    <xf numFmtId="2" fontId="18" fillId="0" borderId="11" xfId="0" applyNumberFormat="1" applyFont="1" applyBorder="1" applyAlignment="1">
      <alignment vertical="center"/>
    </xf>
    <xf numFmtId="0" fontId="18" fillId="0" borderId="11" xfId="0" applyFont="1" applyBorder="1" applyAlignment="1">
      <alignment horizontal="left" vertical="center" wrapText="1"/>
    </xf>
    <xf numFmtId="2" fontId="18" fillId="0" borderId="11" xfId="0" applyNumberFormat="1" applyFont="1" applyBorder="1" applyAlignment="1">
      <alignment vertical="center" wrapText="1"/>
    </xf>
    <xf numFmtId="0" fontId="18" fillId="0" borderId="0" xfId="0" applyFont="1" applyBorder="1" applyAlignment="1">
      <alignment vertical="center" wrapText="1"/>
    </xf>
    <xf numFmtId="2" fontId="18" fillId="0" borderId="0" xfId="0" applyNumberFormat="1"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2" fontId="4" fillId="0" borderId="0" xfId="0" applyNumberFormat="1" applyFont="1" applyBorder="1" applyAlignment="1">
      <alignment vertical="center"/>
    </xf>
    <xf numFmtId="2" fontId="19" fillId="0" borderId="11" xfId="0" applyNumberFormat="1" applyFont="1" applyBorder="1" applyAlignment="1">
      <alignment horizontal="left" vertical="center" wrapText="1"/>
    </xf>
    <xf numFmtId="2" fontId="20" fillId="0" borderId="11" xfId="0" applyNumberFormat="1" applyFont="1" applyBorder="1" applyAlignment="1">
      <alignment horizontal="left" vertical="center" wrapText="1"/>
    </xf>
    <xf numFmtId="2" fontId="19" fillId="0" borderId="11" xfId="53" applyNumberFormat="1" applyFont="1" applyFill="1" applyBorder="1" applyAlignment="1">
      <alignment horizontal="center" vertical="center" wrapText="1"/>
      <protection/>
    </xf>
    <xf numFmtId="2" fontId="18" fillId="0" borderId="11" xfId="0" applyNumberFormat="1" applyFont="1" applyBorder="1" applyAlignment="1">
      <alignment horizontal="center" vertical="center"/>
    </xf>
    <xf numFmtId="2" fontId="19" fillId="0" borderId="11" xfId="0" applyNumberFormat="1" applyFont="1" applyBorder="1" applyAlignment="1">
      <alignment horizontal="center" wrapText="1"/>
    </xf>
    <xf numFmtId="2" fontId="20" fillId="0" borderId="11" xfId="0" applyNumberFormat="1" applyFont="1" applyFill="1" applyBorder="1" applyAlignment="1">
      <alignment horizontal="center" vertical="center"/>
    </xf>
    <xf numFmtId="0" fontId="20" fillId="0" borderId="11" xfId="0" applyFont="1" applyBorder="1" applyAlignment="1">
      <alignment vertical="center" wrapText="1"/>
    </xf>
    <xf numFmtId="2" fontId="20" fillId="0" borderId="11" xfId="53" applyNumberFormat="1" applyFont="1" applyFill="1" applyBorder="1" applyAlignment="1">
      <alignment horizontal="center" vertical="center" wrapText="1"/>
      <protection/>
    </xf>
    <xf numFmtId="2" fontId="20" fillId="0" borderId="11" xfId="0" applyNumberFormat="1"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vertical="center"/>
    </xf>
    <xf numFmtId="0" fontId="20" fillId="0" borderId="10" xfId="0" applyFont="1" applyBorder="1" applyAlignment="1">
      <alignment vertical="center"/>
    </xf>
    <xf numFmtId="0" fontId="4" fillId="0" borderId="11" xfId="0" applyFont="1" applyBorder="1" applyAlignment="1">
      <alignment horizontal="center" vertical="center"/>
    </xf>
    <xf numFmtId="0" fontId="18" fillId="0" borderId="11" xfId="0" applyFont="1" applyBorder="1" applyAlignment="1">
      <alignment vertical="center"/>
    </xf>
    <xf numFmtId="2" fontId="19" fillId="0" borderId="1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9" fillId="0" borderId="11" xfId="0" applyFont="1" applyBorder="1" applyAlignment="1">
      <alignment horizontal="center" wrapText="1"/>
    </xf>
    <xf numFmtId="2" fontId="19" fillId="0" borderId="11" xfId="0" applyNumberFormat="1" applyFont="1" applyFill="1" applyBorder="1" applyAlignment="1">
      <alignment horizontal="center"/>
    </xf>
    <xf numFmtId="2" fontId="19" fillId="0" borderId="11" xfId="0" applyNumberFormat="1" applyFont="1" applyFill="1" applyBorder="1" applyAlignment="1">
      <alignment horizontal="center" wrapText="1"/>
    </xf>
    <xf numFmtId="2" fontId="20" fillId="0" borderId="11" xfId="0" applyNumberFormat="1" applyFont="1" applyFill="1" applyBorder="1" applyAlignment="1">
      <alignment horizontal="center" wrapText="1"/>
    </xf>
    <xf numFmtId="0" fontId="20" fillId="0" borderId="11" xfId="0" applyFont="1" applyBorder="1" applyAlignment="1">
      <alignment horizontal="left" wrapText="1"/>
    </xf>
    <xf numFmtId="0" fontId="19" fillId="0" borderId="0" xfId="0" applyFont="1" applyBorder="1" applyAlignment="1">
      <alignment vertical="center"/>
    </xf>
    <xf numFmtId="0" fontId="19" fillId="0" borderId="1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horizontal="left" vertical="center"/>
    </xf>
    <xf numFmtId="0" fontId="4" fillId="0" borderId="0" xfId="0" applyFont="1" applyAlignment="1">
      <alignment horizontal="left" vertical="center"/>
    </xf>
    <xf numFmtId="0" fontId="15" fillId="0" borderId="0" xfId="0" applyFont="1" applyFill="1" applyBorder="1" applyAlignment="1">
      <alignment horizontal="left" vertical="center"/>
    </xf>
    <xf numFmtId="0" fontId="22" fillId="0" borderId="0" xfId="0" applyFont="1" applyBorder="1" applyAlignment="1">
      <alignment vertical="center"/>
    </xf>
    <xf numFmtId="0" fontId="4" fillId="0" borderId="0" xfId="0" applyFont="1" applyFill="1" applyAlignment="1">
      <alignment horizontal="center" vertical="center"/>
    </xf>
    <xf numFmtId="2" fontId="4" fillId="0" borderId="13" xfId="0" applyNumberFormat="1" applyFont="1" applyFill="1" applyBorder="1" applyAlignment="1">
      <alignment horizontal="center" vertical="center" wrapText="1"/>
    </xf>
    <xf numFmtId="0" fontId="18" fillId="0" borderId="11" xfId="0" applyFont="1" applyFill="1" applyBorder="1" applyAlignment="1">
      <alignment horizontal="center" wrapText="1"/>
    </xf>
    <xf numFmtId="2" fontId="18" fillId="0" borderId="11" xfId="0" applyNumberFormat="1" applyFont="1" applyFill="1" applyBorder="1" applyAlignment="1">
      <alignment horizontal="center"/>
    </xf>
    <xf numFmtId="0" fontId="20" fillId="0" borderId="11" xfId="0" applyFont="1" applyFill="1" applyBorder="1" applyAlignment="1">
      <alignment horizontal="center" wrapText="1"/>
    </xf>
    <xf numFmtId="0" fontId="19" fillId="0" borderId="11" xfId="0" applyFont="1" applyFill="1" applyBorder="1" applyAlignment="1">
      <alignment horizontal="center" vertical="center" wrapText="1"/>
    </xf>
    <xf numFmtId="2" fontId="18" fillId="0" borderId="11" xfId="0" applyNumberFormat="1" applyFont="1" applyFill="1" applyBorder="1" applyAlignment="1">
      <alignment horizontal="center" wrapText="1"/>
    </xf>
    <xf numFmtId="2" fontId="4" fillId="0" borderId="11" xfId="0" applyNumberFormat="1" applyFont="1" applyFill="1" applyBorder="1" applyAlignment="1">
      <alignment horizontal="center"/>
    </xf>
    <xf numFmtId="2" fontId="4" fillId="0" borderId="13" xfId="0" applyNumberFormat="1" applyFont="1" applyFill="1" applyBorder="1" applyAlignment="1">
      <alignment horizontal="center" wrapText="1"/>
    </xf>
    <xf numFmtId="0" fontId="18" fillId="0" borderId="0" xfId="0" applyFont="1" applyFill="1" applyAlignment="1">
      <alignment vertical="center"/>
    </xf>
    <xf numFmtId="0" fontId="18" fillId="0" borderId="11" xfId="0" applyFont="1" applyFill="1" applyBorder="1" applyAlignment="1">
      <alignment horizontal="center" vertical="center" wrapText="1"/>
    </xf>
    <xf numFmtId="2"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2" fontId="4" fillId="0" borderId="11" xfId="0" applyNumberFormat="1" applyFont="1" applyFill="1" applyBorder="1" applyAlignment="1">
      <alignment vertical="center" wrapText="1"/>
    </xf>
    <xf numFmtId="0" fontId="19" fillId="0" borderId="11" xfId="0" applyFont="1" applyFill="1" applyBorder="1" applyAlignment="1">
      <alignment horizontal="center" wrapText="1"/>
    </xf>
    <xf numFmtId="0" fontId="19" fillId="0" borderId="11" xfId="0" applyFont="1" applyFill="1" applyBorder="1" applyAlignment="1">
      <alignment horizontal="center" vertical="top" wrapText="1"/>
    </xf>
    <xf numFmtId="2" fontId="4" fillId="0" borderId="18" xfId="0" applyNumberFormat="1" applyFont="1" applyFill="1" applyBorder="1" applyAlignment="1">
      <alignment horizontal="center" vertical="center" wrapText="1"/>
    </xf>
    <xf numFmtId="2" fontId="18" fillId="0" borderId="11" xfId="0" applyNumberFormat="1" applyFont="1" applyFill="1" applyBorder="1" applyAlignment="1">
      <alignment horizontal="center" vertical="center"/>
    </xf>
    <xf numFmtId="0" fontId="22" fillId="0" borderId="0" xfId="0" applyFont="1" applyFill="1" applyBorder="1" applyAlignment="1">
      <alignment horizontal="center" vertical="center"/>
    </xf>
    <xf numFmtId="2" fontId="2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15" fillId="0" borderId="0" xfId="0" applyNumberFormat="1" applyFont="1" applyFill="1" applyBorder="1" applyAlignment="1">
      <alignment vertical="center"/>
    </xf>
    <xf numFmtId="2" fontId="23" fillId="0" borderId="11" xfId="0" applyNumberFormat="1" applyFont="1" applyFill="1" applyBorder="1" applyAlignment="1">
      <alignment horizontal="center" vertical="center" wrapText="1"/>
    </xf>
    <xf numFmtId="2" fontId="22" fillId="0" borderId="0" xfId="0" applyNumberFormat="1" applyFont="1" applyFill="1" applyAlignment="1">
      <alignment vertical="center"/>
    </xf>
    <xf numFmtId="2" fontId="24" fillId="0" borderId="11" xfId="0" applyNumberFormat="1" applyFont="1" applyFill="1" applyBorder="1" applyAlignment="1">
      <alignment horizontal="center" vertical="center" wrapText="1"/>
    </xf>
    <xf numFmtId="0" fontId="19" fillId="0" borderId="18" xfId="0" applyNumberFormat="1" applyFont="1" applyBorder="1" applyAlignment="1">
      <alignment horizontal="left" vertical="center" wrapText="1"/>
    </xf>
    <xf numFmtId="0" fontId="19" fillId="0" borderId="18" xfId="0" applyFont="1" applyBorder="1" applyAlignment="1">
      <alignment horizontal="left" vertical="center" wrapText="1"/>
    </xf>
    <xf numFmtId="0" fontId="19" fillId="0" borderId="25" xfId="0" applyFont="1" applyBorder="1" applyAlignment="1">
      <alignment horizontal="left" vertical="center" wrapText="1"/>
    </xf>
    <xf numFmtId="0" fontId="19" fillId="0" borderId="13" xfId="0" applyFont="1" applyBorder="1" applyAlignment="1">
      <alignment horizontal="center" vertical="center" wrapText="1"/>
    </xf>
    <xf numFmtId="2" fontId="19" fillId="0" borderId="13" xfId="0" applyNumberFormat="1" applyFont="1" applyFill="1" applyBorder="1" applyAlignment="1">
      <alignment horizontal="center" vertical="center"/>
    </xf>
    <xf numFmtId="2" fontId="25" fillId="0" borderId="13"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Border="1" applyAlignment="1">
      <alignment horizontal="center" vertical="center" wrapText="1"/>
    </xf>
    <xf numFmtId="2" fontId="26" fillId="0" borderId="13"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27"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4" fillId="34" borderId="11" xfId="0" applyNumberFormat="1" applyFont="1" applyFill="1" applyBorder="1" applyAlignment="1">
      <alignment horizontal="center" vertical="center" wrapText="1"/>
    </xf>
    <xf numFmtId="0" fontId="19" fillId="0" borderId="18" xfId="0" applyFont="1" applyBorder="1" applyAlignment="1">
      <alignment horizontal="center" vertical="center" wrapText="1"/>
    </xf>
    <xf numFmtId="0" fontId="4" fillId="0" borderId="18" xfId="0" applyFont="1" applyBorder="1" applyAlignment="1">
      <alignment horizontal="center" vertical="center" wrapText="1"/>
    </xf>
    <xf numFmtId="2" fontId="19" fillId="0" borderId="11" xfId="0" applyNumberFormat="1" applyFont="1" applyFill="1" applyBorder="1" applyAlignment="1">
      <alignment horizontal="center" vertical="center"/>
    </xf>
    <xf numFmtId="2" fontId="4" fillId="0" borderId="18" xfId="0" applyNumberFormat="1" applyFont="1" applyBorder="1" applyAlignment="1">
      <alignment horizontal="center" vertical="center" wrapText="1"/>
    </xf>
    <xf numFmtId="0" fontId="26"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2" fontId="19" fillId="0" borderId="13" xfId="0" applyNumberFormat="1" applyFont="1" applyBorder="1" applyAlignment="1">
      <alignment horizontal="center" vertical="center" wrapText="1"/>
    </xf>
    <xf numFmtId="0" fontId="19" fillId="0" borderId="18" xfId="0" applyFont="1" applyFill="1" applyBorder="1" applyAlignment="1">
      <alignment horizontal="left" vertical="center" wrapText="1"/>
    </xf>
    <xf numFmtId="2" fontId="19" fillId="0" borderId="13" xfId="0" applyNumberFormat="1" applyFont="1" applyFill="1" applyBorder="1" applyAlignment="1">
      <alignment horizontal="center" vertical="center" wrapText="1"/>
    </xf>
    <xf numFmtId="2" fontId="18" fillId="0" borderId="13" xfId="0" applyNumberFormat="1" applyFont="1" applyBorder="1" applyAlignment="1">
      <alignment horizontal="center" vertical="center"/>
    </xf>
    <xf numFmtId="0" fontId="18"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8" fillId="0" borderId="25" xfId="0" applyFont="1" applyBorder="1" applyAlignment="1">
      <alignment horizontal="left" vertical="center" wrapText="1"/>
    </xf>
    <xf numFmtId="2" fontId="8" fillId="0" borderId="11" xfId="0" applyNumberFormat="1" applyFont="1" applyFill="1" applyBorder="1" applyAlignment="1">
      <alignment horizontal="center" vertical="center" wrapText="1"/>
    </xf>
    <xf numFmtId="2" fontId="20" fillId="0" borderId="13" xfId="0" applyNumberFormat="1" applyFont="1" applyBorder="1" applyAlignment="1">
      <alignment horizontal="center" vertical="center" wrapText="1"/>
    </xf>
    <xf numFmtId="0" fontId="8" fillId="0" borderId="18" xfId="0" applyFont="1" applyBorder="1" applyAlignment="1">
      <alignment horizontal="center" vertical="center" wrapText="1"/>
    </xf>
    <xf numFmtId="2" fontId="26" fillId="0" borderId="11" xfId="0" applyNumberFormat="1" applyFont="1" applyFill="1" applyBorder="1" applyAlignment="1">
      <alignment horizontal="center" vertical="center" wrapText="1"/>
    </xf>
    <xf numFmtId="2" fontId="18" fillId="0" borderId="13" xfId="0" applyNumberFormat="1" applyFont="1" applyBorder="1" applyAlignment="1">
      <alignment horizontal="center" vertical="center" wrapText="1"/>
    </xf>
    <xf numFmtId="0" fontId="8"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8" xfId="0" applyFont="1" applyBorder="1" applyAlignment="1">
      <alignment horizontal="left" vertical="center" wrapText="1"/>
    </xf>
    <xf numFmtId="2" fontId="3" fillId="0"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2" fontId="8" fillId="0" borderId="11" xfId="0" applyNumberFormat="1"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2" fontId="8" fillId="0" borderId="13" xfId="0" applyNumberFormat="1" applyFont="1" applyFill="1" applyBorder="1" applyAlignment="1">
      <alignment horizontal="center" vertical="center" wrapText="1"/>
    </xf>
    <xf numFmtId="0" fontId="18" fillId="0" borderId="11" xfId="0" applyFont="1" applyFill="1" applyBorder="1" applyAlignment="1">
      <alignment vertical="center"/>
    </xf>
    <xf numFmtId="0" fontId="4" fillId="0" borderId="11" xfId="0" applyFont="1" applyFill="1" applyBorder="1" applyAlignment="1">
      <alignment horizontal="center" wrapText="1"/>
    </xf>
    <xf numFmtId="0" fontId="61" fillId="0" borderId="18" xfId="0" applyFont="1" applyBorder="1" applyAlignment="1">
      <alignment vertical="center"/>
    </xf>
    <xf numFmtId="0" fontId="62" fillId="0" borderId="18" xfId="0" applyFont="1" applyBorder="1" applyAlignment="1">
      <alignment vertical="center"/>
    </xf>
    <xf numFmtId="2" fontId="8" fillId="0" borderId="11" xfId="53" applyNumberFormat="1" applyFont="1" applyFill="1" applyBorder="1" applyAlignment="1">
      <alignment horizontal="center" vertical="center" wrapText="1"/>
      <protection/>
    </xf>
    <xf numFmtId="2" fontId="8" fillId="0" borderId="18"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2" fontId="19" fillId="0" borderId="13" xfId="0" applyNumberFormat="1" applyFont="1" applyFill="1" applyBorder="1" applyAlignment="1">
      <alignment horizontal="center" vertical="center"/>
    </xf>
    <xf numFmtId="2" fontId="19" fillId="0" borderId="18" xfId="0" applyNumberFormat="1" applyFont="1" applyFill="1" applyBorder="1" applyAlignment="1">
      <alignment horizontal="center" vertical="center"/>
    </xf>
    <xf numFmtId="0" fontId="19" fillId="0" borderId="13" xfId="0" applyFont="1" applyBorder="1" applyAlignment="1">
      <alignment horizontal="left" vertical="center" wrapText="1"/>
    </xf>
    <xf numFmtId="0" fontId="19" fillId="0" borderId="18" xfId="0" applyFont="1" applyBorder="1" applyAlignment="1">
      <alignment horizontal="left" vertical="center" wrapText="1"/>
    </xf>
    <xf numFmtId="0" fontId="15" fillId="0" borderId="0" xfId="0" applyFont="1" applyAlignment="1">
      <alignment horizontal="left" vertical="center"/>
    </xf>
    <xf numFmtId="0" fontId="4" fillId="0" borderId="0" xfId="0" applyFont="1" applyAlignment="1">
      <alignment horizontal="center" vertical="center"/>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0" fontId="4" fillId="0" borderId="11" xfId="0" applyFont="1" applyBorder="1" applyAlignment="1">
      <alignment vertical="center"/>
    </xf>
    <xf numFmtId="2" fontId="19" fillId="0" borderId="11" xfId="0" applyNumberFormat="1" applyFont="1" applyFill="1" applyBorder="1" applyAlignment="1">
      <alignment horizontal="center" vertical="center"/>
    </xf>
    <xf numFmtId="0" fontId="19" fillId="0" borderId="11" xfId="0" applyFont="1" applyBorder="1" applyAlignment="1">
      <alignment horizontal="left" vertical="center" wrapText="1"/>
    </xf>
    <xf numFmtId="0" fontId="18" fillId="0" borderId="11" xfId="0" applyFont="1" applyBorder="1" applyAlignment="1">
      <alignment horizontal="left" vertical="center" wrapText="1"/>
    </xf>
    <xf numFmtId="0" fontId="19" fillId="0" borderId="25" xfId="0" applyFont="1" applyBorder="1" applyAlignment="1">
      <alignment horizontal="center" vertical="center" wrapText="1"/>
    </xf>
    <xf numFmtId="2" fontId="19" fillId="0" borderId="25" xfId="0" applyNumberFormat="1" applyFont="1" applyFill="1" applyBorder="1" applyAlignment="1">
      <alignment horizontal="center" vertical="center"/>
    </xf>
    <xf numFmtId="2" fontId="19" fillId="0" borderId="11" xfId="0" applyNumberFormat="1" applyFont="1" applyBorder="1" applyAlignment="1">
      <alignment horizontal="center" vertical="center" wrapText="1"/>
    </xf>
    <xf numFmtId="0" fontId="19"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2" fontId="20" fillId="0" borderId="13" xfId="0" applyNumberFormat="1" applyFont="1" applyFill="1" applyBorder="1" applyAlignment="1">
      <alignment horizontal="center" vertical="center" wrapText="1"/>
    </xf>
    <xf numFmtId="2" fontId="20" fillId="0" borderId="18"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8" xfId="0" applyFont="1" applyFill="1" applyBorder="1" applyAlignment="1">
      <alignment horizontal="left" vertical="center" wrapText="1"/>
    </xf>
    <xf numFmtId="2" fontId="4" fillId="0" borderId="13" xfId="0" applyNumberFormat="1" applyFont="1" applyBorder="1" applyAlignment="1">
      <alignment horizontal="center" vertical="center"/>
    </xf>
    <xf numFmtId="2" fontId="4" fillId="0" borderId="25" xfId="0" applyNumberFormat="1" applyFont="1" applyBorder="1" applyAlignment="1">
      <alignment horizontal="center" vertical="center"/>
    </xf>
    <xf numFmtId="2" fontId="4" fillId="0" borderId="18"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8" xfId="0" applyFont="1" applyFill="1" applyBorder="1" applyAlignment="1">
      <alignment horizontal="left" vertical="center" wrapText="1"/>
    </xf>
    <xf numFmtId="188" fontId="19" fillId="0" borderId="13" xfId="0" applyNumberFormat="1" applyFont="1" applyFill="1" applyBorder="1" applyAlignment="1">
      <alignment horizontal="center" vertical="center"/>
    </xf>
    <xf numFmtId="188" fontId="19" fillId="0" borderId="25" xfId="0" applyNumberFormat="1" applyFont="1" applyFill="1" applyBorder="1" applyAlignment="1">
      <alignment horizontal="center" vertical="center"/>
    </xf>
    <xf numFmtId="188" fontId="19" fillId="0" borderId="18" xfId="0" applyNumberFormat="1" applyFont="1" applyFill="1" applyBorder="1" applyAlignment="1">
      <alignment horizontal="center" vertical="center"/>
    </xf>
    <xf numFmtId="2" fontId="19" fillId="0" borderId="13" xfId="0" applyNumberFormat="1" applyFont="1" applyBorder="1" applyAlignment="1">
      <alignment horizontal="center" vertical="center" wrapText="1"/>
    </xf>
    <xf numFmtId="2" fontId="19" fillId="0" borderId="25" xfId="0" applyNumberFormat="1" applyFont="1" applyBorder="1" applyAlignment="1">
      <alignment horizontal="center" vertical="center" wrapText="1"/>
    </xf>
    <xf numFmtId="2" fontId="19" fillId="0" borderId="18"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25"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25" xfId="0" applyFont="1" applyBorder="1" applyAlignment="1">
      <alignment horizontal="left" vertical="center" wrapText="1"/>
    </xf>
    <xf numFmtId="0" fontId="8" fillId="0" borderId="18" xfId="0" applyFont="1" applyBorder="1" applyAlignment="1">
      <alignment horizontal="left" vertical="center" wrapText="1"/>
    </xf>
    <xf numFmtId="2" fontId="19" fillId="0" borderId="13" xfId="0" applyNumberFormat="1" applyFont="1" applyFill="1" applyBorder="1" applyAlignment="1">
      <alignment horizontal="center" vertical="center" wrapText="1"/>
    </xf>
    <xf numFmtId="2" fontId="19" fillId="0" borderId="25" xfId="0" applyNumberFormat="1" applyFont="1" applyFill="1" applyBorder="1" applyAlignment="1">
      <alignment horizontal="center" vertical="center" wrapText="1"/>
    </xf>
    <xf numFmtId="2" fontId="19" fillId="0" borderId="18"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2" fontId="20" fillId="0" borderId="25" xfId="0" applyNumberFormat="1" applyFont="1" applyFill="1" applyBorder="1" applyAlignment="1">
      <alignment horizontal="center" vertical="center" wrapText="1"/>
    </xf>
    <xf numFmtId="2" fontId="19" fillId="0" borderId="11" xfId="0" applyNumberFormat="1" applyFont="1" applyFill="1" applyBorder="1" applyAlignment="1">
      <alignment horizontal="center" vertical="center" wrapText="1"/>
    </xf>
    <xf numFmtId="0" fontId="19" fillId="0" borderId="1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3" fillId="0" borderId="18" xfId="0" applyFont="1" applyBorder="1" applyAlignment="1">
      <alignment/>
    </xf>
    <xf numFmtId="0" fontId="4" fillId="0" borderId="25" xfId="0" applyFont="1" applyFill="1" applyBorder="1" applyAlignment="1">
      <alignment horizontal="center" vertical="center" wrapText="1"/>
    </xf>
    <xf numFmtId="0" fontId="19" fillId="33" borderId="13"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xf>
    <xf numFmtId="0" fontId="12" fillId="0" borderId="11" xfId="0" applyFont="1" applyBorder="1" applyAlignment="1">
      <alignment horizontal="center" vertical="center" wrapText="1"/>
    </xf>
    <xf numFmtId="2" fontId="12" fillId="0" borderId="11" xfId="0" applyNumberFormat="1" applyFont="1" applyFill="1" applyBorder="1" applyAlignment="1">
      <alignment horizontal="center" vertical="center"/>
    </xf>
    <xf numFmtId="0" fontId="12" fillId="0" borderId="11" xfId="0" applyFont="1" applyBorder="1" applyAlignment="1">
      <alignment horizontal="left" vertical="center" wrapText="1"/>
    </xf>
    <xf numFmtId="2" fontId="12" fillId="33" borderId="11" xfId="0" applyNumberFormat="1" applyFont="1" applyFill="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1" fillId="0" borderId="11" xfId="0" applyFont="1" applyBorder="1" applyAlignment="1">
      <alignment horizontal="center" wrapText="1"/>
    </xf>
    <xf numFmtId="2" fontId="11" fillId="0" borderId="11" xfId="0" applyNumberFormat="1" applyFont="1" applyBorder="1" applyAlignment="1">
      <alignment horizontal="center"/>
    </xf>
    <xf numFmtId="2" fontId="12" fillId="0" borderId="11" xfId="0" applyNumberFormat="1" applyFont="1" applyBorder="1" applyAlignment="1">
      <alignment horizontal="center" vertical="center" wrapText="1"/>
    </xf>
    <xf numFmtId="0" fontId="12" fillId="0" borderId="13" xfId="0" applyFont="1" applyBorder="1" applyAlignment="1">
      <alignment horizontal="left" vertical="center" wrapText="1"/>
    </xf>
    <xf numFmtId="0" fontId="12" fillId="0" borderId="25" xfId="0" applyFont="1" applyBorder="1" applyAlignment="1">
      <alignment horizontal="left" vertical="center" wrapText="1"/>
    </xf>
    <xf numFmtId="0" fontId="12" fillId="0" borderId="18" xfId="0" applyFont="1" applyBorder="1" applyAlignment="1">
      <alignment horizontal="left" vertical="center" wrapText="1"/>
    </xf>
    <xf numFmtId="0" fontId="12" fillId="0" borderId="11" xfId="0" applyFont="1" applyBorder="1" applyAlignment="1">
      <alignment horizontal="justify" vertical="center" wrapText="1"/>
    </xf>
    <xf numFmtId="2" fontId="11" fillId="0" borderId="11" xfId="0" applyNumberFormat="1" applyFont="1" applyBorder="1" applyAlignment="1">
      <alignment horizontal="center" vertical="center" wrapText="1"/>
    </xf>
    <xf numFmtId="2" fontId="12" fillId="0" borderId="13" xfId="0" applyNumberFormat="1" applyFont="1" applyFill="1" applyBorder="1" applyAlignment="1">
      <alignment horizontal="center" vertical="center"/>
    </xf>
    <xf numFmtId="2" fontId="12" fillId="0" borderId="18" xfId="0" applyNumberFormat="1" applyFont="1" applyFill="1" applyBorder="1" applyAlignment="1">
      <alignment horizontal="center" vertical="center"/>
    </xf>
    <xf numFmtId="2" fontId="12" fillId="0" borderId="11" xfId="0" applyNumberFormat="1" applyFont="1" applyFill="1" applyBorder="1" applyAlignment="1">
      <alignment horizontal="center" vertical="center" wrapText="1"/>
    </xf>
    <xf numFmtId="2" fontId="14" fillId="0" borderId="11" xfId="0" applyNumberFormat="1" applyFont="1" applyFill="1" applyBorder="1" applyAlignment="1">
      <alignment horizontal="center"/>
    </xf>
    <xf numFmtId="0" fontId="12" fillId="0" borderId="11" xfId="0" applyFont="1" applyBorder="1" applyAlignment="1">
      <alignment horizontal="center" wrapText="1"/>
    </xf>
    <xf numFmtId="2" fontId="12" fillId="0" borderId="11" xfId="0" applyNumberFormat="1" applyFont="1" applyFill="1" applyBorder="1" applyAlignment="1">
      <alignment horizontal="center"/>
    </xf>
    <xf numFmtId="2" fontId="12" fillId="0" borderId="13"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3" xfId="0" applyFont="1" applyBorder="1" applyAlignment="1">
      <alignment horizontal="center" wrapText="1"/>
    </xf>
    <xf numFmtId="0" fontId="12" fillId="0" borderId="18" xfId="0" applyFont="1" applyBorder="1" applyAlignment="1">
      <alignment horizontal="center" wrapText="1"/>
    </xf>
    <xf numFmtId="2" fontId="12" fillId="0" borderId="14" xfId="0" applyNumberFormat="1" applyFont="1" applyFill="1" applyBorder="1" applyAlignment="1">
      <alignment horizontal="center"/>
    </xf>
    <xf numFmtId="2" fontId="12" fillId="0" borderId="23" xfId="0" applyNumberFormat="1" applyFont="1" applyFill="1" applyBorder="1" applyAlignment="1">
      <alignment horizontal="center"/>
    </xf>
    <xf numFmtId="0" fontId="11" fillId="0" borderId="14" xfId="0" applyFont="1" applyBorder="1" applyAlignment="1">
      <alignment horizontal="center" vertical="center" wrapText="1"/>
    </xf>
    <xf numFmtId="0" fontId="11" fillId="0" borderId="26" xfId="0" applyFont="1" applyBorder="1" applyAlignment="1">
      <alignment vertical="center"/>
    </xf>
    <xf numFmtId="0" fontId="11" fillId="0" borderId="23" xfId="0" applyFont="1" applyBorder="1" applyAlignment="1">
      <alignment vertical="center"/>
    </xf>
    <xf numFmtId="0" fontId="11" fillId="0" borderId="27" xfId="0" applyFont="1" applyBorder="1" applyAlignment="1">
      <alignment vertical="center"/>
    </xf>
    <xf numFmtId="2" fontId="12" fillId="33" borderId="14" xfId="0" applyNumberFormat="1" applyFont="1" applyFill="1" applyBorder="1" applyAlignment="1">
      <alignment horizontal="center" vertical="center"/>
    </xf>
    <xf numFmtId="2" fontId="12" fillId="33" borderId="23" xfId="0" applyNumberFormat="1" applyFont="1" applyFill="1" applyBorder="1" applyAlignment="1">
      <alignment horizontal="center" vertical="center"/>
    </xf>
    <xf numFmtId="0" fontId="11" fillId="0" borderId="1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7" xfId="0" applyFont="1" applyBorder="1" applyAlignment="1">
      <alignment horizontal="center" vertical="center" wrapText="1"/>
    </xf>
    <xf numFmtId="2" fontId="12" fillId="33" borderId="13" xfId="0" applyNumberFormat="1" applyFont="1" applyFill="1" applyBorder="1" applyAlignment="1">
      <alignment horizontal="center" vertical="center"/>
    </xf>
    <xf numFmtId="2" fontId="12" fillId="33" borderId="18" xfId="0" applyNumberFormat="1" applyFont="1" applyFill="1" applyBorder="1" applyAlignment="1">
      <alignment horizontal="center" vertical="center"/>
    </xf>
    <xf numFmtId="0" fontId="12" fillId="0" borderId="13"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25" xfId="0"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8"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11" fillId="0" borderId="18" xfId="0" applyNumberFormat="1" applyFont="1" applyBorder="1" applyAlignment="1">
      <alignment horizontal="center" vertical="center" wrapText="1"/>
    </xf>
    <xf numFmtId="2" fontId="14" fillId="0" borderId="13" xfId="0" applyNumberFormat="1" applyFont="1" applyFill="1" applyBorder="1" applyAlignment="1">
      <alignment horizontal="center"/>
    </xf>
    <xf numFmtId="2" fontId="14" fillId="0" borderId="18" xfId="0" applyNumberFormat="1" applyFont="1" applyFill="1" applyBorder="1" applyAlignment="1">
      <alignment horizontal="center"/>
    </xf>
    <xf numFmtId="0" fontId="20" fillId="0" borderId="1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18" xfId="0" applyFont="1" applyBorder="1" applyAlignment="1">
      <alignment horizontal="left" vertical="center" wrapText="1"/>
    </xf>
    <xf numFmtId="0" fontId="16" fillId="0" borderId="0" xfId="0" applyFont="1" applyAlignment="1">
      <alignment horizontal="left" vertical="center"/>
    </xf>
    <xf numFmtId="2" fontId="12" fillId="0" borderId="13" xfId="0" applyNumberFormat="1" applyFont="1" applyFill="1" applyBorder="1" applyAlignment="1">
      <alignment horizontal="center"/>
    </xf>
    <xf numFmtId="2" fontId="12" fillId="0" borderId="18" xfId="0" applyNumberFormat="1" applyFont="1" applyFill="1" applyBorder="1" applyAlignment="1">
      <alignment horizontal="center"/>
    </xf>
    <xf numFmtId="0" fontId="20" fillId="0" borderId="25" xfId="0" applyFont="1" applyBorder="1" applyAlignment="1">
      <alignment horizontal="left" vertical="center" wrapText="1"/>
    </xf>
    <xf numFmtId="0" fontId="12" fillId="0" borderId="25"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Безк. на 0110.16"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J238"/>
  <sheetViews>
    <sheetView tabSelected="1" zoomScalePageLayoutView="0" workbookViewId="0" topLeftCell="A8">
      <pane xSplit="1" ySplit="4" topLeftCell="B12" activePane="bottomRight" state="frozen"/>
      <selection pane="topLeft" activeCell="A8" sqref="A8"/>
      <selection pane="topRight" activeCell="B8" sqref="B8"/>
      <selection pane="bottomLeft" activeCell="A12" sqref="A12"/>
      <selection pane="bottomRight" activeCell="D230" sqref="B230:D230"/>
    </sheetView>
  </sheetViews>
  <sheetFormatPr defaultColWidth="25.7109375" defaultRowHeight="15"/>
  <cols>
    <col min="1" max="1" width="14.28125" style="4" customWidth="1"/>
    <col min="2" max="2" width="12.57421875" style="226" customWidth="1"/>
    <col min="3" max="3" width="39.00390625" style="226" customWidth="1"/>
    <col min="4" max="4" width="11.57421875" style="275" customWidth="1"/>
    <col min="5" max="5" width="22.57421875" style="226" customWidth="1"/>
    <col min="6" max="6" width="9.28125" style="4" customWidth="1"/>
    <col min="7" max="7" width="8.8515625" style="4" customWidth="1"/>
    <col min="8" max="8" width="9.28125" style="4" customWidth="1"/>
    <col min="9" max="9" width="10.42187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438</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375</v>
      </c>
      <c r="B12" s="369">
        <v>800</v>
      </c>
      <c r="C12" s="370" t="s">
        <v>353</v>
      </c>
      <c r="D12" s="262"/>
      <c r="E12" s="276"/>
      <c r="F12" s="236"/>
      <c r="G12" s="230"/>
      <c r="H12" s="237"/>
      <c r="I12" s="213"/>
      <c r="J12" s="235"/>
    </row>
    <row r="13" spans="1:10" ht="1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33.75" customHeight="1">
      <c r="A15" s="365" t="s">
        <v>376</v>
      </c>
      <c r="B15" s="359">
        <f>776.6+847.8+13872</f>
        <v>15496.4</v>
      </c>
      <c r="C15" s="361" t="s">
        <v>384</v>
      </c>
      <c r="D15" s="262">
        <v>783</v>
      </c>
      <c r="E15" s="276" t="s">
        <v>373</v>
      </c>
      <c r="F15" s="236"/>
      <c r="G15" s="230"/>
      <c r="H15" s="228"/>
      <c r="I15" s="213"/>
      <c r="J15" s="235"/>
      <c r="K15" s="246"/>
    </row>
    <row r="16" spans="1:11" ht="13.5" customHeight="1">
      <c r="A16" s="365"/>
      <c r="B16" s="360"/>
      <c r="C16" s="362"/>
      <c r="D16" s="262"/>
      <c r="E16" s="261"/>
      <c r="F16" s="236"/>
      <c r="G16" s="230"/>
      <c r="H16" s="228"/>
      <c r="I16" s="228"/>
      <c r="J16" s="235"/>
      <c r="K16" s="246"/>
    </row>
    <row r="17" spans="1:114" s="245" customFormat="1" ht="22.5" customHeight="1">
      <c r="A17" s="229" t="s">
        <v>19</v>
      </c>
      <c r="B17" s="238">
        <f>SUM(B15)</f>
        <v>15496.4</v>
      </c>
      <c r="C17" s="215"/>
      <c r="D17" s="266">
        <f>D16+D15</f>
        <v>783</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65" t="s">
        <v>377</v>
      </c>
      <c r="B18" s="359">
        <v>670</v>
      </c>
      <c r="C18" s="215" t="s">
        <v>480</v>
      </c>
      <c r="D18" s="214">
        <v>11557.3</v>
      </c>
      <c r="E18" s="313" t="s">
        <v>412</v>
      </c>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18.75" customHeight="1">
      <c r="A19" s="365"/>
      <c r="B19" s="360"/>
      <c r="C19" s="353" t="s">
        <v>43</v>
      </c>
      <c r="D19" s="214">
        <v>10900.56</v>
      </c>
      <c r="E19" s="261" t="s">
        <v>447</v>
      </c>
      <c r="F19" s="239"/>
      <c r="G19" s="240"/>
      <c r="H19" s="228"/>
      <c r="I19" s="213"/>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4" s="245" customFormat="1" ht="33" customHeight="1">
      <c r="A20" s="365"/>
      <c r="B20" s="238">
        <f>SUM(B18)</f>
        <v>670</v>
      </c>
      <c r="C20" s="303" t="s">
        <v>353</v>
      </c>
      <c r="D20" s="279">
        <f>SUM(D18:D19)</f>
        <v>22457.86</v>
      </c>
      <c r="E20" s="278"/>
      <c r="F20" s="248">
        <f>F18</f>
        <v>0</v>
      </c>
      <c r="G20" s="240"/>
      <c r="H20" s="229">
        <f>SUM(H18:H18)</f>
        <v>0</v>
      </c>
      <c r="I20" s="229"/>
      <c r="J20" s="242"/>
      <c r="K20" s="243"/>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row>
    <row r="21" spans="1:11" ht="44.25" customHeight="1">
      <c r="A21" s="366" t="s">
        <v>378</v>
      </c>
      <c r="B21" s="359">
        <f>537+3249.47+3550</f>
        <v>7336.469999999999</v>
      </c>
      <c r="C21" s="338" t="s">
        <v>367</v>
      </c>
      <c r="D21" s="214"/>
      <c r="E21" s="276"/>
      <c r="F21" s="236"/>
      <c r="G21" s="230"/>
      <c r="H21" s="228"/>
      <c r="I21" s="213"/>
      <c r="J21" s="235"/>
      <c r="K21" s="246"/>
    </row>
    <row r="22" spans="1:11" ht="18.75" customHeight="1">
      <c r="A22" s="367"/>
      <c r="B22" s="360"/>
      <c r="C22" s="354" t="s">
        <v>43</v>
      </c>
      <c r="D22" s="355">
        <v>17830.47</v>
      </c>
      <c r="E22" s="333" t="s">
        <v>447</v>
      </c>
      <c r="F22" s="236"/>
      <c r="G22" s="230"/>
      <c r="H22" s="228"/>
      <c r="I22" s="228"/>
      <c r="J22" s="235"/>
      <c r="K22" s="246"/>
    </row>
    <row r="23" spans="1:114" s="245" customFormat="1" ht="25.5" customHeight="1">
      <c r="A23" s="229" t="s">
        <v>20</v>
      </c>
      <c r="B23" s="238">
        <f>B21</f>
        <v>7336.469999999999</v>
      </c>
      <c r="C23" s="146"/>
      <c r="D23" s="281">
        <f>D22+D21</f>
        <v>17830.47</v>
      </c>
      <c r="E23" s="282"/>
      <c r="F23" s="239"/>
      <c r="G23" s="240"/>
      <c r="H23" s="229">
        <f>SUM(H21:H22)</f>
        <v>0</v>
      </c>
      <c r="I23" s="229"/>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4" s="245" customFormat="1" ht="36" customHeight="1">
      <c r="A24" s="366" t="s">
        <v>379</v>
      </c>
      <c r="B24" s="359">
        <v>2940</v>
      </c>
      <c r="C24" s="215" t="s">
        <v>416</v>
      </c>
      <c r="D24" s="262">
        <v>610</v>
      </c>
      <c r="E24" s="313" t="s">
        <v>412</v>
      </c>
      <c r="F24" s="239"/>
      <c r="G24" s="240"/>
      <c r="H24" s="228"/>
      <c r="I24" s="213"/>
      <c r="J24" s="242"/>
      <c r="K24" s="243"/>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row>
    <row r="25" spans="1:11" ht="21.75" customHeight="1">
      <c r="A25" s="367"/>
      <c r="B25" s="360"/>
      <c r="C25" s="303" t="s">
        <v>43</v>
      </c>
      <c r="D25" s="249">
        <v>14146.46</v>
      </c>
      <c r="E25" s="261" t="s">
        <v>447</v>
      </c>
      <c r="F25" s="236"/>
      <c r="G25" s="230"/>
      <c r="H25" s="237"/>
      <c r="I25" s="230"/>
      <c r="J25" s="235"/>
      <c r="K25" s="246"/>
    </row>
    <row r="26" spans="1:114" s="245" customFormat="1" ht="19.5" customHeight="1">
      <c r="A26" s="229" t="s">
        <v>20</v>
      </c>
      <c r="B26" s="238">
        <f>B24</f>
        <v>2940</v>
      </c>
      <c r="C26" s="215"/>
      <c r="D26" s="281">
        <f>SUM(D24:D25)</f>
        <v>14756.46</v>
      </c>
      <c r="E26" s="282"/>
      <c r="F26" s="239"/>
      <c r="G26" s="240"/>
      <c r="H26" s="241">
        <f>SUM(H24:H25)</f>
        <v>0</v>
      </c>
      <c r="I26" s="229"/>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34.5" customHeight="1">
      <c r="A27" s="366" t="s">
        <v>380</v>
      </c>
      <c r="B27" s="359">
        <v>697</v>
      </c>
      <c r="C27" s="338" t="s">
        <v>480</v>
      </c>
      <c r="D27" s="214">
        <v>23114.6</v>
      </c>
      <c r="E27" s="323" t="s">
        <v>412</v>
      </c>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23.25" customHeight="1">
      <c r="A28" s="372"/>
      <c r="B28" s="373"/>
      <c r="C28" s="341" t="s">
        <v>43</v>
      </c>
      <c r="D28" s="214">
        <v>9900.48</v>
      </c>
      <c r="E28" s="261" t="s">
        <v>447</v>
      </c>
      <c r="F28" s="374"/>
      <c r="G28" s="371"/>
      <c r="H28" s="358"/>
      <c r="I28" s="358"/>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1" customHeight="1">
      <c r="A29" s="367"/>
      <c r="B29" s="360"/>
      <c r="C29" s="341" t="s">
        <v>352</v>
      </c>
      <c r="D29" s="262"/>
      <c r="E29" s="261"/>
      <c r="F29" s="156"/>
      <c r="G29" s="240"/>
      <c r="H29" s="231"/>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4" s="245" customFormat="1" ht="22.5" customHeight="1">
      <c r="A30" s="229" t="s">
        <v>20</v>
      </c>
      <c r="B30" s="238">
        <f>SUM(B27:B28)</f>
        <v>697</v>
      </c>
      <c r="C30" s="216"/>
      <c r="D30" s="281">
        <f>SUM(D27:D29)</f>
        <v>33015.08</v>
      </c>
      <c r="E30" s="282"/>
      <c r="F30" s="250"/>
      <c r="G30" s="240"/>
      <c r="H30" s="231">
        <f>SUM(H27:H29)</f>
        <v>0</v>
      </c>
      <c r="I30" s="231"/>
      <c r="J30" s="242"/>
      <c r="K30" s="243"/>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row>
    <row r="31" spans="1:11" ht="21.75" customHeight="1">
      <c r="A31" s="366" t="s">
        <v>381</v>
      </c>
      <c r="B31" s="359">
        <v>700</v>
      </c>
      <c r="C31" s="215" t="s">
        <v>353</v>
      </c>
      <c r="D31" s="214"/>
      <c r="E31" s="283"/>
      <c r="F31" s="156"/>
      <c r="G31" s="230"/>
      <c r="H31" s="207"/>
      <c r="I31" s="207"/>
      <c r="J31" s="235"/>
      <c r="K31" s="246"/>
    </row>
    <row r="32" spans="1:11" ht="27.75" customHeight="1">
      <c r="A32" s="367"/>
      <c r="B32" s="360"/>
      <c r="C32" s="303" t="s">
        <v>43</v>
      </c>
      <c r="D32" s="214">
        <v>11364.26</v>
      </c>
      <c r="E32" s="261" t="s">
        <v>447</v>
      </c>
      <c r="F32" s="156"/>
      <c r="G32" s="230"/>
      <c r="H32" s="207"/>
      <c r="I32" s="207"/>
      <c r="J32" s="235"/>
      <c r="K32" s="246"/>
    </row>
    <row r="33" spans="1:114" s="245" customFormat="1" ht="24" customHeight="1">
      <c r="A33" s="231" t="s">
        <v>20</v>
      </c>
      <c r="B33" s="238">
        <f>SUM(B31)</f>
        <v>700</v>
      </c>
      <c r="C33" s="216"/>
      <c r="D33" s="277">
        <f>D32+D31</f>
        <v>11364.26</v>
      </c>
      <c r="E33" s="351"/>
      <c r="F33" s="160"/>
      <c r="G33" s="240"/>
      <c r="H33" s="231">
        <f>SUM(H31:H32)</f>
        <v>0</v>
      </c>
      <c r="I33" s="231"/>
      <c r="J33" s="242"/>
      <c r="K33" s="243"/>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row>
    <row r="34" spans="1:114" s="245" customFormat="1" ht="24" customHeight="1">
      <c r="A34" s="366" t="s">
        <v>382</v>
      </c>
      <c r="B34" s="359">
        <f>24050+1000</f>
        <v>25050</v>
      </c>
      <c r="C34" s="216" t="s">
        <v>43</v>
      </c>
      <c r="D34" s="352">
        <v>1624.31</v>
      </c>
      <c r="E34" s="261" t="s">
        <v>447</v>
      </c>
      <c r="F34" s="160"/>
      <c r="G34" s="240"/>
      <c r="H34" s="231"/>
      <c r="I34" s="231"/>
      <c r="J34" s="242"/>
      <c r="K34" s="243"/>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row>
    <row r="35" spans="1:10" ht="80.25" customHeight="1">
      <c r="A35" s="372"/>
      <c r="B35" s="373"/>
      <c r="C35" s="370" t="s">
        <v>419</v>
      </c>
      <c r="D35" s="262">
        <v>783</v>
      </c>
      <c r="E35" s="214" t="s">
        <v>373</v>
      </c>
      <c r="F35" s="251"/>
      <c r="G35" s="230"/>
      <c r="H35" s="207"/>
      <c r="I35" s="207"/>
      <c r="J35" s="235"/>
    </row>
    <row r="36" spans="1:10" ht="37.5" customHeight="1">
      <c r="A36" s="367"/>
      <c r="B36" s="360"/>
      <c r="C36" s="370"/>
      <c r="D36" s="262">
        <v>17335.95</v>
      </c>
      <c r="E36" s="315" t="s">
        <v>412</v>
      </c>
      <c r="F36" s="251"/>
      <c r="G36" s="230"/>
      <c r="H36" s="207"/>
      <c r="I36" s="207"/>
      <c r="J36" s="235"/>
    </row>
    <row r="37" spans="1:114" s="245" customFormat="1" ht="27.75" customHeight="1">
      <c r="A37" s="229" t="s">
        <v>20</v>
      </c>
      <c r="B37" s="238">
        <f>SUM(B34:B36)</f>
        <v>25050</v>
      </c>
      <c r="C37" s="146"/>
      <c r="D37" s="221">
        <f>SUM(D34:D36)</f>
        <v>19743.260000000002</v>
      </c>
      <c r="E37" s="286"/>
      <c r="F37" s="250"/>
      <c r="G37" s="240"/>
      <c r="H37" s="231">
        <f>SUM(H35:H36)</f>
        <v>0</v>
      </c>
      <c r="I37" s="231"/>
      <c r="J37" s="242"/>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row>
    <row r="38" spans="1:10" ht="33.75" customHeight="1">
      <c r="A38" s="366" t="s">
        <v>383</v>
      </c>
      <c r="B38" s="359">
        <f>179.8+747</f>
        <v>926.8</v>
      </c>
      <c r="C38" s="234" t="s">
        <v>477</v>
      </c>
      <c r="D38" s="214">
        <v>23114.6</v>
      </c>
      <c r="E38" s="316" t="s">
        <v>412</v>
      </c>
      <c r="F38" s="251"/>
      <c r="G38" s="230"/>
      <c r="H38" s="207"/>
      <c r="I38" s="207"/>
      <c r="J38" s="235"/>
    </row>
    <row r="39" spans="1:10" ht="35.25" customHeight="1">
      <c r="A39" s="372"/>
      <c r="B39" s="373"/>
      <c r="C39" s="215" t="s">
        <v>478</v>
      </c>
      <c r="D39" s="311"/>
      <c r="E39" s="324"/>
      <c r="F39" s="251"/>
      <c r="G39" s="230"/>
      <c r="H39" s="207"/>
      <c r="I39" s="207"/>
      <c r="J39" s="235"/>
    </row>
    <row r="40" spans="1:10" ht="26.25" customHeight="1">
      <c r="A40" s="367"/>
      <c r="B40" s="360"/>
      <c r="C40" s="216" t="s">
        <v>43</v>
      </c>
      <c r="D40" s="311">
        <v>13170.81</v>
      </c>
      <c r="E40" s="261" t="s">
        <v>447</v>
      </c>
      <c r="F40" s="251"/>
      <c r="G40" s="230"/>
      <c r="H40" s="207"/>
      <c r="I40" s="207"/>
      <c r="J40" s="235"/>
    </row>
    <row r="41" spans="1:114" s="245" customFormat="1" ht="27" customHeight="1">
      <c r="A41" s="229" t="s">
        <v>20</v>
      </c>
      <c r="B41" s="238">
        <f>SUM(B38:B39)</f>
        <v>926.8</v>
      </c>
      <c r="C41" s="303"/>
      <c r="D41" s="221">
        <f>SUM(D38:D40)</f>
        <v>36285.409999999996</v>
      </c>
      <c r="E41" s="286"/>
      <c r="F41" s="250"/>
      <c r="G41" s="240"/>
      <c r="H41" s="231">
        <f>H38</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21" customHeight="1">
      <c r="A42" s="366" t="s">
        <v>12</v>
      </c>
      <c r="B42" s="359">
        <f>9410+19470+1680+2275</f>
        <v>32835</v>
      </c>
      <c r="C42" s="361" t="s">
        <v>351</v>
      </c>
      <c r="D42" s="262"/>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73.5" customHeight="1">
      <c r="A43" s="367"/>
      <c r="B43" s="360"/>
      <c r="C43" s="362"/>
      <c r="D43" s="214"/>
      <c r="E43" s="261"/>
      <c r="F43" s="156"/>
      <c r="G43" s="230"/>
      <c r="H43" s="207"/>
      <c r="I43" s="207"/>
      <c r="J43" s="235"/>
    </row>
    <row r="44" spans="1:114" s="245" customFormat="1" ht="23.25" customHeight="1">
      <c r="A44" s="229" t="s">
        <v>20</v>
      </c>
      <c r="B44" s="238">
        <f>SUM(B42)</f>
        <v>32835</v>
      </c>
      <c r="C44" s="215"/>
      <c r="D44" s="220">
        <f>D43+D42</f>
        <v>0</v>
      </c>
      <c r="E44" s="262"/>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32.25" customHeight="1">
      <c r="A45" s="366" t="s">
        <v>21</v>
      </c>
      <c r="B45" s="359">
        <f>757+675+552</f>
        <v>1984</v>
      </c>
      <c r="C45" s="361" t="s">
        <v>368</v>
      </c>
      <c r="D45" s="214"/>
      <c r="E45" s="214"/>
      <c r="F45" s="250"/>
      <c r="G45" s="240"/>
      <c r="H45" s="207"/>
      <c r="I45" s="207"/>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16.5" customHeight="1">
      <c r="A46" s="367"/>
      <c r="B46" s="360"/>
      <c r="C46" s="375"/>
      <c r="D46" s="280"/>
      <c r="E46" s="261"/>
      <c r="F46" s="156"/>
      <c r="G46" s="230"/>
      <c r="H46" s="207"/>
      <c r="I46" s="207"/>
      <c r="J46" s="235"/>
    </row>
    <row r="47" spans="1:114" s="245" customFormat="1" ht="27.75" customHeight="1">
      <c r="A47" s="229" t="s">
        <v>20</v>
      </c>
      <c r="B47" s="238">
        <f>SUM(B45:B45)</f>
        <v>1984</v>
      </c>
      <c r="C47" s="362"/>
      <c r="D47" s="221">
        <f>D46+D45</f>
        <v>0</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27.75" customHeight="1">
      <c r="A48" s="366" t="s">
        <v>13</v>
      </c>
      <c r="B48" s="359">
        <v>1330</v>
      </c>
      <c r="C48" s="304" t="s">
        <v>43</v>
      </c>
      <c r="D48" s="262">
        <v>1933.56</v>
      </c>
      <c r="E48" s="261" t="s">
        <v>447</v>
      </c>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14" s="245" customFormat="1" ht="54" customHeight="1">
      <c r="A49" s="372"/>
      <c r="B49" s="373"/>
      <c r="C49" s="361" t="s">
        <v>421</v>
      </c>
      <c r="D49" s="262">
        <v>4</v>
      </c>
      <c r="E49" s="307" t="s">
        <v>364</v>
      </c>
      <c r="F49" s="250"/>
      <c r="G49" s="240"/>
      <c r="H49" s="231"/>
      <c r="I49" s="231"/>
      <c r="J49" s="242"/>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row>
    <row r="50" spans="1:10" ht="40.5" customHeight="1">
      <c r="A50" s="367"/>
      <c r="B50" s="360"/>
      <c r="C50" s="362"/>
      <c r="D50" s="214">
        <v>17335.95</v>
      </c>
      <c r="E50" s="316" t="s">
        <v>412</v>
      </c>
      <c r="F50" s="152"/>
      <c r="G50" s="230"/>
      <c r="H50" s="207"/>
      <c r="I50" s="207"/>
      <c r="J50" s="235"/>
    </row>
    <row r="51" spans="1:114" s="245" customFormat="1" ht="31.5" customHeight="1">
      <c r="A51" s="229" t="s">
        <v>20</v>
      </c>
      <c r="B51" s="238">
        <f>SUM(B48)</f>
        <v>1330</v>
      </c>
      <c r="C51" s="215"/>
      <c r="D51" s="220">
        <f>SUM(D48:D50)</f>
        <v>19273.510000000002</v>
      </c>
      <c r="E51" s="286"/>
      <c r="F51" s="250"/>
      <c r="G51" s="240"/>
      <c r="H51" s="231">
        <f>SUM(H49:H50)</f>
        <v>0</v>
      </c>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14" s="245" customFormat="1" ht="15" customHeight="1">
      <c r="A52" s="366" t="s">
        <v>14</v>
      </c>
      <c r="B52" s="359">
        <v>880</v>
      </c>
      <c r="C52" s="361" t="s">
        <v>350</v>
      </c>
      <c r="D52" s="261"/>
      <c r="E52" s="276"/>
      <c r="F52" s="250"/>
      <c r="G52" s="240"/>
      <c r="H52" s="231"/>
      <c r="I52" s="231"/>
      <c r="J52" s="242"/>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row>
    <row r="53" spans="1:10" ht="32.25" customHeight="1">
      <c r="A53" s="367"/>
      <c r="B53" s="360"/>
      <c r="C53" s="362"/>
      <c r="D53" s="214"/>
      <c r="E53" s="214"/>
      <c r="F53" s="152"/>
      <c r="G53" s="230"/>
      <c r="H53" s="162"/>
      <c r="I53" s="207"/>
      <c r="J53" s="235"/>
    </row>
    <row r="54" spans="1:114" s="245" customFormat="1" ht="19.5" customHeight="1">
      <c r="A54" s="229" t="s">
        <v>20</v>
      </c>
      <c r="B54" s="238">
        <f>B52</f>
        <v>880</v>
      </c>
      <c r="C54" s="216"/>
      <c r="D54" s="220">
        <f>D53+D52</f>
        <v>0</v>
      </c>
      <c r="E54" s="286"/>
      <c r="F54" s="250">
        <f>F53</f>
        <v>0</v>
      </c>
      <c r="G54" s="240"/>
      <c r="H54" s="231">
        <f>SUM(H52:H53)</f>
        <v>0</v>
      </c>
      <c r="I54" s="231"/>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14" s="245" customFormat="1" ht="32.25" customHeight="1">
      <c r="A55" s="366" t="s">
        <v>15</v>
      </c>
      <c r="B55" s="359">
        <f>9699+350+800</f>
        <v>10849</v>
      </c>
      <c r="C55" s="215" t="s">
        <v>359</v>
      </c>
      <c r="D55" s="261"/>
      <c r="E55" s="276"/>
      <c r="F55" s="250"/>
      <c r="G55" s="240"/>
      <c r="H55" s="231"/>
      <c r="I55" s="231"/>
      <c r="J55" s="242"/>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row>
    <row r="56" spans="1:10" ht="23.25" customHeight="1">
      <c r="A56" s="367"/>
      <c r="B56" s="360"/>
      <c r="C56" s="303" t="s">
        <v>43</v>
      </c>
      <c r="D56" s="214">
        <v>4295.76</v>
      </c>
      <c r="E56" s="261" t="s">
        <v>447</v>
      </c>
      <c r="F56" s="152"/>
      <c r="G56" s="230"/>
      <c r="H56" s="207"/>
      <c r="I56" s="207"/>
      <c r="J56" s="235"/>
    </row>
    <row r="57" spans="1:114" s="245" customFormat="1" ht="21.75" customHeight="1">
      <c r="A57" s="229" t="s">
        <v>20</v>
      </c>
      <c r="B57" s="238">
        <f>SUM(B55:B55)</f>
        <v>10849</v>
      </c>
      <c r="C57" s="215"/>
      <c r="D57" s="220">
        <f>D56+D55</f>
        <v>4295.76</v>
      </c>
      <c r="E57" s="262"/>
      <c r="F57" s="250"/>
      <c r="G57" s="240"/>
      <c r="H57" s="231">
        <f>SUM(H55:H56)</f>
        <v>0</v>
      </c>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14" s="245" customFormat="1" ht="34.5" customHeight="1">
      <c r="A58" s="366" t="s">
        <v>16</v>
      </c>
      <c r="B58" s="359">
        <f>6621.99+3220.95+4500+1624.6+3445</f>
        <v>19412.54</v>
      </c>
      <c r="C58" s="215" t="s">
        <v>347</v>
      </c>
      <c r="D58" s="261"/>
      <c r="E58" s="276"/>
      <c r="F58" s="152"/>
      <c r="G58" s="230"/>
      <c r="H58" s="207"/>
      <c r="I58" s="207"/>
      <c r="J58" s="242"/>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row>
    <row r="59" spans="1:10" ht="23.25" customHeight="1">
      <c r="A59" s="367"/>
      <c r="B59" s="360"/>
      <c r="C59" s="303" t="s">
        <v>43</v>
      </c>
      <c r="D59" s="214">
        <v>14679.56</v>
      </c>
      <c r="E59" s="261" t="s">
        <v>447</v>
      </c>
      <c r="F59" s="152"/>
      <c r="G59" s="230"/>
      <c r="H59" s="207"/>
      <c r="I59" s="207"/>
      <c r="J59" s="235"/>
    </row>
    <row r="60" spans="1:114" s="245" customFormat="1" ht="30" customHeight="1">
      <c r="A60" s="229" t="s">
        <v>20</v>
      </c>
      <c r="B60" s="252">
        <f>SUM(B58:B58)</f>
        <v>19412.54</v>
      </c>
      <c r="C60" s="303"/>
      <c r="D60" s="220">
        <f>D59+D58</f>
        <v>14679.56</v>
      </c>
      <c r="E60" s="262"/>
      <c r="F60" s="250">
        <f>F59+F58</f>
        <v>0</v>
      </c>
      <c r="G60" s="240"/>
      <c r="H60" s="231">
        <f>SUM(H58:H59)</f>
        <v>0</v>
      </c>
      <c r="I60" s="231"/>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14" s="245" customFormat="1" ht="13.5" customHeight="1">
      <c r="A61" s="366" t="s">
        <v>17</v>
      </c>
      <c r="B61" s="359">
        <v>450</v>
      </c>
      <c r="C61" s="361" t="s">
        <v>360</v>
      </c>
      <c r="D61" s="261"/>
      <c r="E61" s="276"/>
      <c r="F61" s="250"/>
      <c r="G61" s="240"/>
      <c r="H61" s="231"/>
      <c r="I61" s="231"/>
      <c r="J61" s="242"/>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row>
    <row r="62" spans="1:10" ht="23.25" customHeight="1">
      <c r="A62" s="367"/>
      <c r="B62" s="360"/>
      <c r="C62" s="362"/>
      <c r="D62" s="214"/>
      <c r="E62" s="214"/>
      <c r="F62" s="152"/>
      <c r="G62" s="230"/>
      <c r="H62" s="207"/>
      <c r="I62" s="207"/>
      <c r="J62" s="235"/>
    </row>
    <row r="63" spans="1:114" s="245" customFormat="1" ht="24.75" customHeight="1">
      <c r="A63" s="229" t="s">
        <v>20</v>
      </c>
      <c r="B63" s="238">
        <f>SUM(B61:B61)</f>
        <v>450</v>
      </c>
      <c r="C63" s="303"/>
      <c r="D63" s="220">
        <f>D62+D61</f>
        <v>0</v>
      </c>
      <c r="E63" s="286"/>
      <c r="F63" s="250"/>
      <c r="G63" s="240"/>
      <c r="H63" s="231">
        <f>SUM(H61:H62)</f>
        <v>0</v>
      </c>
      <c r="I63" s="231"/>
      <c r="J63" s="242"/>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row>
    <row r="64" spans="1:114" s="245" customFormat="1" ht="23.25" customHeight="1">
      <c r="A64" s="366" t="s">
        <v>18</v>
      </c>
      <c r="B64" s="359">
        <v>690</v>
      </c>
      <c r="C64" s="215" t="s">
        <v>360</v>
      </c>
      <c r="D64" s="214"/>
      <c r="E64" s="214"/>
      <c r="F64" s="250"/>
      <c r="G64" s="240"/>
      <c r="H64" s="207"/>
      <c r="I64" s="207"/>
      <c r="J64" s="242"/>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row>
    <row r="65" spans="1:10" ht="27" customHeight="1">
      <c r="A65" s="367"/>
      <c r="B65" s="360"/>
      <c r="C65" s="303" t="s">
        <v>43</v>
      </c>
      <c r="D65" s="280">
        <v>10246.53</v>
      </c>
      <c r="E65" s="261" t="s">
        <v>447</v>
      </c>
      <c r="F65" s="152"/>
      <c r="G65" s="230"/>
      <c r="H65" s="207"/>
      <c r="I65" s="207"/>
      <c r="J65" s="235"/>
    </row>
    <row r="66" spans="1:10" ht="21.75" customHeight="1" thickBot="1">
      <c r="A66" s="229" t="s">
        <v>20</v>
      </c>
      <c r="B66" s="238">
        <f>SUM(B64:B64)</f>
        <v>690</v>
      </c>
      <c r="C66" s="303"/>
      <c r="D66" s="220">
        <f>D65+D64</f>
        <v>10246.53</v>
      </c>
      <c r="E66" s="286"/>
      <c r="F66" s="250">
        <f>F65</f>
        <v>0</v>
      </c>
      <c r="G66" s="230"/>
      <c r="H66" s="231">
        <f>SUM(H64:H65)</f>
        <v>0</v>
      </c>
      <c r="I66" s="207"/>
      <c r="J66" s="235"/>
    </row>
    <row r="67" spans="1:114" s="258" customFormat="1" ht="39" customHeight="1" thickBot="1">
      <c r="A67" s="253" t="s">
        <v>68</v>
      </c>
      <c r="B67" s="220">
        <f>SUM(B14+B17+B20+B23+B26+B30+B33+B37+B41+B44+B47+B51+B54+B57+B60+B63+B66)</f>
        <v>123047.21000000002</v>
      </c>
      <c r="C67" s="147"/>
      <c r="D67" s="254">
        <f>D66+D63+D60+D57+D54+D51+D47+D44+D41+D37+D33+D30+D26+D23+D20+D17+D14</f>
        <v>204731.15999999997</v>
      </c>
      <c r="E67" s="221"/>
      <c r="F67" s="255">
        <f>F54+F66+F20+F60</f>
        <v>0</v>
      </c>
      <c r="G67" s="148"/>
      <c r="H67" s="160">
        <f>H14+H17+H20+H23+H26+H30+H33+H37+H41+H44+H47+H51+H54+H57+H60+H63+H66</f>
        <v>0</v>
      </c>
      <c r="I67" s="161"/>
      <c r="J67" s="256"/>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c r="CP67" s="257"/>
      <c r="CQ67" s="257"/>
      <c r="CR67" s="257"/>
      <c r="CS67" s="257"/>
      <c r="CT67" s="257"/>
      <c r="CU67" s="257"/>
      <c r="CV67" s="257"/>
      <c r="CW67" s="257"/>
      <c r="CX67" s="257"/>
      <c r="CY67" s="257"/>
      <c r="CZ67" s="257"/>
      <c r="DA67" s="257"/>
      <c r="DB67" s="257"/>
      <c r="DC67" s="257"/>
      <c r="DD67" s="257"/>
      <c r="DE67" s="257"/>
      <c r="DF67" s="257"/>
      <c r="DG67" s="257"/>
      <c r="DH67" s="257"/>
      <c r="DI67" s="257"/>
      <c r="DJ67" s="257"/>
    </row>
    <row r="68" spans="1:10" s="257" customFormat="1" ht="24" customHeight="1">
      <c r="A68" s="376" t="s">
        <v>41</v>
      </c>
      <c r="B68" s="359">
        <v>1470</v>
      </c>
      <c r="C68" s="215" t="s">
        <v>372</v>
      </c>
      <c r="D68" s="249"/>
      <c r="E68" s="276"/>
      <c r="F68" s="255"/>
      <c r="G68" s="148"/>
      <c r="H68" s="160"/>
      <c r="I68" s="161"/>
      <c r="J68" s="256"/>
    </row>
    <row r="69" spans="1:10" ht="32.25" customHeight="1">
      <c r="A69" s="377"/>
      <c r="B69" s="360"/>
      <c r="C69" s="303" t="s">
        <v>43</v>
      </c>
      <c r="D69" s="214">
        <v>15146.71</v>
      </c>
      <c r="E69" s="261" t="s">
        <v>447</v>
      </c>
      <c r="F69" s="152"/>
      <c r="G69" s="230"/>
      <c r="H69" s="207"/>
      <c r="I69" s="207"/>
      <c r="J69" s="242"/>
    </row>
    <row r="70" spans="1:114" s="245" customFormat="1" ht="18" customHeight="1">
      <c r="A70" s="229" t="s">
        <v>20</v>
      </c>
      <c r="B70" s="238">
        <f>SUM(B68:B68)</f>
        <v>1470</v>
      </c>
      <c r="C70" s="303"/>
      <c r="D70" s="220">
        <f>D69+D68</f>
        <v>15146.71</v>
      </c>
      <c r="E70" s="221"/>
      <c r="F70" s="250">
        <f>F69</f>
        <v>0</v>
      </c>
      <c r="G70" s="240"/>
      <c r="H70" s="159">
        <f>SUM(H68:H69)</f>
        <v>0</v>
      </c>
      <c r="I70" s="231"/>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21" customHeight="1">
      <c r="A71" s="376" t="s">
        <v>56</v>
      </c>
      <c r="B71" s="359">
        <v>1040</v>
      </c>
      <c r="C71" s="215" t="s">
        <v>372</v>
      </c>
      <c r="D71" s="214"/>
      <c r="E71" s="214"/>
      <c r="F71" s="250"/>
      <c r="G71" s="240"/>
      <c r="H71" s="207"/>
      <c r="I71" s="207"/>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0" ht="26.25" customHeight="1">
      <c r="A72" s="377"/>
      <c r="B72" s="360"/>
      <c r="C72" s="303" t="s">
        <v>43</v>
      </c>
      <c r="D72" s="261">
        <v>13566.66</v>
      </c>
      <c r="E72" s="261" t="s">
        <v>447</v>
      </c>
      <c r="F72" s="152"/>
      <c r="G72" s="230"/>
      <c r="H72" s="231"/>
      <c r="I72" s="231"/>
      <c r="J72" s="242"/>
    </row>
    <row r="73" spans="1:114" s="245" customFormat="1" ht="30.75" customHeight="1">
      <c r="A73" s="229" t="s">
        <v>20</v>
      </c>
      <c r="B73" s="238">
        <f>SUM(B71:B71)</f>
        <v>1040</v>
      </c>
      <c r="C73" s="303"/>
      <c r="D73" s="220">
        <f>D72+D71</f>
        <v>13566.66</v>
      </c>
      <c r="E73" s="221"/>
      <c r="F73" s="250">
        <f>F72</f>
        <v>0</v>
      </c>
      <c r="G73" s="240"/>
      <c r="H73" s="231">
        <f>SUM(H71:H72)</f>
        <v>0</v>
      </c>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40.5" customHeight="1">
      <c r="A74" s="366" t="s">
        <v>386</v>
      </c>
      <c r="B74" s="359">
        <f>1960</f>
        <v>1960</v>
      </c>
      <c r="C74" s="338" t="s">
        <v>440</v>
      </c>
      <c r="D74" s="333">
        <f>2*2160.6</f>
        <v>4321.2</v>
      </c>
      <c r="E74" s="313" t="s">
        <v>439</v>
      </c>
      <c r="F74" s="329"/>
      <c r="G74" s="330"/>
      <c r="H74" s="231"/>
      <c r="I74" s="331"/>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114" s="245" customFormat="1" ht="30" customHeight="1">
      <c r="A75" s="372"/>
      <c r="B75" s="373"/>
      <c r="C75" s="338" t="s">
        <v>487</v>
      </c>
      <c r="D75" s="333">
        <f>1588+1082.18+1979.83</f>
        <v>4650.01</v>
      </c>
      <c r="E75" s="313" t="s">
        <v>484</v>
      </c>
      <c r="F75" s="329"/>
      <c r="G75" s="330"/>
      <c r="H75" s="231"/>
      <c r="I75" s="331"/>
      <c r="J75" s="242"/>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row>
    <row r="76" spans="1:114" s="245" customFormat="1" ht="28.5" customHeight="1">
      <c r="A76" s="372"/>
      <c r="B76" s="373"/>
      <c r="C76" s="332" t="s">
        <v>36</v>
      </c>
      <c r="D76" s="356">
        <v>6660</v>
      </c>
      <c r="E76" s="313" t="s">
        <v>444</v>
      </c>
      <c r="F76" s="329"/>
      <c r="G76" s="330"/>
      <c r="H76" s="231"/>
      <c r="I76" s="331"/>
      <c r="J76" s="242"/>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82.5" customHeight="1">
      <c r="A77" s="372"/>
      <c r="B77" s="373"/>
      <c r="C77" s="339" t="s">
        <v>482</v>
      </c>
      <c r="D77" s="317">
        <f>34661.6+4870+10092.94+19992.54+212100.64+23191.48+17039.86</f>
        <v>321949.06</v>
      </c>
      <c r="E77" s="261" t="s">
        <v>447</v>
      </c>
      <c r="F77" s="329"/>
      <c r="G77" s="330"/>
      <c r="H77" s="231"/>
      <c r="I77" s="331"/>
      <c r="J77" s="242"/>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84.75" customHeight="1">
      <c r="A78" s="372"/>
      <c r="B78" s="373"/>
      <c r="C78" s="348" t="s">
        <v>448</v>
      </c>
      <c r="D78" s="317">
        <f>7096+88900+14258.2</f>
        <v>110254.2</v>
      </c>
      <c r="E78" s="328" t="s">
        <v>424</v>
      </c>
      <c r="F78" s="329"/>
      <c r="G78" s="330"/>
      <c r="H78" s="231"/>
      <c r="I78" s="331"/>
      <c r="J78" s="242"/>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32.25" customHeight="1">
      <c r="A79" s="372"/>
      <c r="B79" s="373"/>
      <c r="C79" s="348" t="s">
        <v>450</v>
      </c>
      <c r="D79" s="317">
        <v>8480</v>
      </c>
      <c r="E79" s="328" t="s">
        <v>449</v>
      </c>
      <c r="F79" s="329"/>
      <c r="G79" s="330"/>
      <c r="H79" s="231"/>
      <c r="I79" s="331"/>
      <c r="J79" s="242"/>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35.25" customHeight="1">
      <c r="A80" s="372"/>
      <c r="B80" s="373"/>
      <c r="C80" s="380" t="s">
        <v>423</v>
      </c>
      <c r="D80" s="317">
        <v>4</v>
      </c>
      <c r="E80" s="314" t="s">
        <v>364</v>
      </c>
      <c r="F80" s="383"/>
      <c r="G80" s="376"/>
      <c r="H80" s="162"/>
      <c r="I80" s="213"/>
      <c r="J80" s="242"/>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48" customHeight="1">
      <c r="A81" s="372"/>
      <c r="B81" s="373"/>
      <c r="C81" s="381"/>
      <c r="D81" s="317">
        <v>163682.46</v>
      </c>
      <c r="E81" s="307" t="s">
        <v>404</v>
      </c>
      <c r="F81" s="384"/>
      <c r="G81" s="386"/>
      <c r="H81" s="162"/>
      <c r="I81" s="213"/>
      <c r="J81" s="242"/>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8" customHeight="1">
      <c r="A82" s="372"/>
      <c r="B82" s="373"/>
      <c r="C82" s="381"/>
      <c r="D82" s="317">
        <v>75366</v>
      </c>
      <c r="E82" s="314" t="s">
        <v>407</v>
      </c>
      <c r="F82" s="384"/>
      <c r="G82" s="386"/>
      <c r="H82" s="162"/>
      <c r="I82" s="213"/>
      <c r="J82" s="242"/>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17.25" customHeight="1">
      <c r="A83" s="372"/>
      <c r="B83" s="373"/>
      <c r="C83" s="381"/>
      <c r="D83" s="317">
        <f>3096.64+7215+1282</f>
        <v>11593.64</v>
      </c>
      <c r="E83" s="317" t="s">
        <v>422</v>
      </c>
      <c r="F83" s="384"/>
      <c r="G83" s="386"/>
      <c r="H83" s="162"/>
      <c r="I83" s="213"/>
      <c r="J83" s="242"/>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114" s="245" customFormat="1" ht="25.5" customHeight="1">
      <c r="A84" s="372"/>
      <c r="B84" s="373"/>
      <c r="C84" s="381"/>
      <c r="D84" s="317">
        <v>25080</v>
      </c>
      <c r="E84" s="314" t="s">
        <v>408</v>
      </c>
      <c r="F84" s="384"/>
      <c r="G84" s="386"/>
      <c r="H84" s="162"/>
      <c r="I84" s="213"/>
      <c r="J84" s="242"/>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row>
    <row r="85" spans="1:114" s="245" customFormat="1" ht="26.25" customHeight="1">
      <c r="A85" s="372"/>
      <c r="B85" s="373"/>
      <c r="C85" s="381"/>
      <c r="D85" s="317">
        <v>109200</v>
      </c>
      <c r="E85" s="314" t="s">
        <v>409</v>
      </c>
      <c r="F85" s="384"/>
      <c r="G85" s="386"/>
      <c r="H85" s="162"/>
      <c r="I85" s="213"/>
      <c r="J85" s="242"/>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row>
    <row r="86" spans="1:114" s="245" customFormat="1" ht="21" customHeight="1">
      <c r="A86" s="367"/>
      <c r="B86" s="360"/>
      <c r="C86" s="382"/>
      <c r="D86" s="333">
        <v>783</v>
      </c>
      <c r="E86" s="314" t="s">
        <v>373</v>
      </c>
      <c r="F86" s="385"/>
      <c r="G86" s="377"/>
      <c r="H86" s="162"/>
      <c r="I86" s="213"/>
      <c r="J86" s="242"/>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27.75" customHeight="1">
      <c r="A87" s="229" t="s">
        <v>20</v>
      </c>
      <c r="B87" s="238">
        <f>B74</f>
        <v>1960</v>
      </c>
      <c r="C87" s="146"/>
      <c r="D87" s="220">
        <f>SUM(D74:D86)</f>
        <v>842023.5700000001</v>
      </c>
      <c r="E87" s="221"/>
      <c r="F87" s="250">
        <f>F80</f>
        <v>0</v>
      </c>
      <c r="G87" s="240"/>
      <c r="H87" s="159">
        <f>SUM(H80:H86)</f>
        <v>0</v>
      </c>
      <c r="I87" s="231"/>
      <c r="J87" s="242"/>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24" customHeight="1">
      <c r="A88" s="366" t="s">
        <v>38</v>
      </c>
      <c r="B88" s="359">
        <v>1980</v>
      </c>
      <c r="C88" s="387" t="s">
        <v>387</v>
      </c>
      <c r="D88" s="214"/>
      <c r="E88" s="214"/>
      <c r="F88" s="383"/>
      <c r="G88" s="376"/>
      <c r="H88" s="159"/>
      <c r="I88" s="231"/>
      <c r="J88" s="242"/>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114" s="245" customFormat="1" ht="21.75" customHeight="1">
      <c r="A89" s="372"/>
      <c r="B89" s="373"/>
      <c r="C89" s="388"/>
      <c r="D89" s="261"/>
      <c r="E89" s="276"/>
      <c r="F89" s="384"/>
      <c r="G89" s="386"/>
      <c r="H89" s="207"/>
      <c r="I89" s="207"/>
      <c r="J89" s="242"/>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row>
    <row r="90" spans="1:9" ht="2.25" customHeight="1" hidden="1">
      <c r="A90" s="367"/>
      <c r="B90" s="360"/>
      <c r="C90" s="389"/>
      <c r="D90" s="261"/>
      <c r="E90" s="287"/>
      <c r="F90" s="385"/>
      <c r="G90" s="377"/>
      <c r="H90" s="259"/>
      <c r="I90" s="207"/>
    </row>
    <row r="91" spans="1:114" s="245" customFormat="1" ht="19.5" customHeight="1">
      <c r="A91" s="229" t="s">
        <v>20</v>
      </c>
      <c r="B91" s="238">
        <f>SUM(B88:B88)</f>
        <v>1980</v>
      </c>
      <c r="C91" s="146"/>
      <c r="D91" s="308">
        <f>SUM(D88:D90)</f>
        <v>0</v>
      </c>
      <c r="E91" s="288"/>
      <c r="F91" s="250">
        <f>F88</f>
        <v>0</v>
      </c>
      <c r="G91" s="240"/>
      <c r="H91" s="158">
        <f>SUM(H89:H90)</f>
        <v>0</v>
      </c>
      <c r="I91" s="231"/>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38.25" customHeight="1">
      <c r="A92" s="366" t="s">
        <v>322</v>
      </c>
      <c r="B92" s="359"/>
      <c r="C92" s="219" t="s">
        <v>388</v>
      </c>
      <c r="D92" s="286">
        <v>783</v>
      </c>
      <c r="E92" s="214" t="s">
        <v>373</v>
      </c>
      <c r="F92" s="383"/>
      <c r="G92" s="376"/>
      <c r="H92" s="158"/>
      <c r="I92" s="231"/>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21.75" customHeight="1">
      <c r="A93" s="367"/>
      <c r="B93" s="360"/>
      <c r="C93" s="325" t="s">
        <v>466</v>
      </c>
      <c r="D93" s="261">
        <v>5602.8</v>
      </c>
      <c r="E93" s="261" t="s">
        <v>447</v>
      </c>
      <c r="F93" s="385"/>
      <c r="G93" s="377"/>
      <c r="H93" s="260"/>
      <c r="I93" s="260"/>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26.25" customHeight="1">
      <c r="A94" s="229" t="s">
        <v>20</v>
      </c>
      <c r="B94" s="238">
        <f>SUM(B92:B93)</f>
        <v>0</v>
      </c>
      <c r="C94" s="147"/>
      <c r="D94" s="221">
        <f>SUM(D92:D93)</f>
        <v>6385.8</v>
      </c>
      <c r="E94" s="221"/>
      <c r="F94" s="160">
        <f>F92</f>
        <v>0</v>
      </c>
      <c r="G94" s="240"/>
      <c r="H94" s="158">
        <f>SUM(H92:H93)</f>
        <v>0</v>
      </c>
      <c r="I94" s="231"/>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32.25" customHeight="1">
      <c r="A95" s="366" t="s">
        <v>321</v>
      </c>
      <c r="B95" s="390"/>
      <c r="C95" s="217" t="s">
        <v>388</v>
      </c>
      <c r="D95" s="287">
        <v>783</v>
      </c>
      <c r="E95" s="214" t="s">
        <v>373</v>
      </c>
      <c r="F95" s="393"/>
      <c r="G95" s="376"/>
      <c r="H95" s="259"/>
      <c r="I95" s="207"/>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32.25" customHeight="1">
      <c r="A96" s="372"/>
      <c r="B96" s="391"/>
      <c r="C96" s="348" t="s">
        <v>451</v>
      </c>
      <c r="D96" s="317">
        <v>6480</v>
      </c>
      <c r="E96" s="328" t="s">
        <v>449</v>
      </c>
      <c r="F96" s="394"/>
      <c r="G96" s="386"/>
      <c r="H96" s="259"/>
      <c r="I96" s="207"/>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114" s="245" customFormat="1" ht="16.5" customHeight="1">
      <c r="A97" s="367"/>
      <c r="B97" s="392"/>
      <c r="C97" s="339" t="s">
        <v>476</v>
      </c>
      <c r="D97" s="317">
        <f>5046.47+11595.74</f>
        <v>16642.21</v>
      </c>
      <c r="E97" s="261" t="s">
        <v>447</v>
      </c>
      <c r="F97" s="395"/>
      <c r="G97" s="377"/>
      <c r="H97" s="158"/>
      <c r="I97" s="231"/>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row>
    <row r="98" spans="1:114" s="245" customFormat="1" ht="24" customHeight="1">
      <c r="A98" s="229" t="s">
        <v>20</v>
      </c>
      <c r="B98" s="238">
        <f>SUM(B95:B97)</f>
        <v>0</v>
      </c>
      <c r="C98" s="147"/>
      <c r="D98" s="220">
        <f>SUM(D95:D97)</f>
        <v>23905.21</v>
      </c>
      <c r="E98" s="221"/>
      <c r="F98" s="160">
        <f>F95</f>
        <v>0</v>
      </c>
      <c r="G98" s="240"/>
      <c r="H98" s="158">
        <f>SUM(H95:H97)</f>
        <v>0</v>
      </c>
      <c r="I98" s="231"/>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row>
    <row r="99" spans="1:114" s="245" customFormat="1" ht="39" customHeight="1">
      <c r="A99" s="366" t="s">
        <v>389</v>
      </c>
      <c r="B99" s="359">
        <f>415+2020</f>
        <v>2435</v>
      </c>
      <c r="C99" s="338" t="s">
        <v>441</v>
      </c>
      <c r="D99" s="333">
        <f>(2*2160.6)+130000</f>
        <v>134321.2</v>
      </c>
      <c r="E99" s="313" t="s">
        <v>439</v>
      </c>
      <c r="F99" s="334"/>
      <c r="G99" s="330"/>
      <c r="H99" s="158"/>
      <c r="I99" s="231"/>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44.25" customHeight="1">
      <c r="A100" s="372"/>
      <c r="B100" s="373"/>
      <c r="C100" s="339" t="s">
        <v>472</v>
      </c>
      <c r="D100" s="317">
        <f>27392.99+5046.47+13328.36+8404.2+4525.71+23191.48</f>
        <v>81889.21</v>
      </c>
      <c r="E100" s="261" t="s">
        <v>447</v>
      </c>
      <c r="F100" s="334"/>
      <c r="G100" s="330"/>
      <c r="H100" s="158"/>
      <c r="I100" s="231"/>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114" s="245" customFormat="1" ht="27.75" customHeight="1">
      <c r="A101" s="372"/>
      <c r="B101" s="373"/>
      <c r="C101" s="339" t="s">
        <v>452</v>
      </c>
      <c r="D101" s="317">
        <v>8480</v>
      </c>
      <c r="E101" s="328" t="s">
        <v>449</v>
      </c>
      <c r="F101" s="334"/>
      <c r="G101" s="330"/>
      <c r="H101" s="158"/>
      <c r="I101" s="231"/>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row>
    <row r="102" spans="1:114" s="245" customFormat="1" ht="27.75" customHeight="1">
      <c r="A102" s="372"/>
      <c r="B102" s="373"/>
      <c r="C102" s="341" t="s">
        <v>486</v>
      </c>
      <c r="D102" s="333">
        <v>1305.85</v>
      </c>
      <c r="E102" s="313" t="s">
        <v>484</v>
      </c>
      <c r="F102" s="334"/>
      <c r="G102" s="330"/>
      <c r="H102" s="158"/>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21.75" customHeight="1">
      <c r="A103" s="372"/>
      <c r="B103" s="373"/>
      <c r="C103" s="348" t="s">
        <v>454</v>
      </c>
      <c r="D103" s="317">
        <v>48085.52</v>
      </c>
      <c r="E103" s="328" t="s">
        <v>453</v>
      </c>
      <c r="F103" s="334"/>
      <c r="G103" s="330"/>
      <c r="H103" s="158"/>
      <c r="I103" s="231"/>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114" s="245" customFormat="1" ht="93" customHeight="1">
      <c r="A104" s="372"/>
      <c r="B104" s="373"/>
      <c r="C104" s="348" t="s">
        <v>455</v>
      </c>
      <c r="D104" s="317">
        <f>1500+5655+1359.6+64607+2100</f>
        <v>75221.6</v>
      </c>
      <c r="E104" s="276" t="s">
        <v>424</v>
      </c>
      <c r="F104" s="334"/>
      <c r="G104" s="330"/>
      <c r="H104" s="158"/>
      <c r="I104" s="231"/>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row>
    <row r="105" spans="1:9" ht="28.5" customHeight="1">
      <c r="A105" s="372"/>
      <c r="B105" s="373"/>
      <c r="C105" s="370" t="s">
        <v>425</v>
      </c>
      <c r="D105" s="317">
        <v>783</v>
      </c>
      <c r="E105" s="333" t="s">
        <v>390</v>
      </c>
      <c r="F105" s="396"/>
      <c r="G105" s="376"/>
      <c r="H105" s="152"/>
      <c r="I105" s="207"/>
    </row>
    <row r="106" spans="1:9" ht="23.25" customHeight="1">
      <c r="A106" s="372"/>
      <c r="B106" s="373"/>
      <c r="C106" s="370"/>
      <c r="D106" s="317">
        <f>3647.4+3870+676.5+1852+1335</f>
        <v>11380.9</v>
      </c>
      <c r="E106" s="317" t="s">
        <v>422</v>
      </c>
      <c r="F106" s="397"/>
      <c r="G106" s="386"/>
      <c r="H106" s="152"/>
      <c r="I106" s="207"/>
    </row>
    <row r="107" spans="1:9" ht="25.5" customHeight="1" hidden="1">
      <c r="A107" s="372"/>
      <c r="B107" s="373"/>
      <c r="C107" s="370"/>
      <c r="D107" s="226"/>
      <c r="E107" s="4"/>
      <c r="F107" s="397"/>
      <c r="G107" s="386"/>
      <c r="H107" s="152"/>
      <c r="I107" s="207"/>
    </row>
    <row r="108" spans="1:9" ht="24" customHeight="1">
      <c r="A108" s="372"/>
      <c r="B108" s="373"/>
      <c r="C108" s="370"/>
      <c r="D108" s="317">
        <f>292</f>
        <v>292</v>
      </c>
      <c r="E108" s="314" t="s">
        <v>426</v>
      </c>
      <c r="F108" s="397"/>
      <c r="G108" s="386"/>
      <c r="H108" s="152"/>
      <c r="I108" s="207"/>
    </row>
    <row r="109" spans="1:9" ht="30.75" customHeight="1">
      <c r="A109" s="367"/>
      <c r="B109" s="360"/>
      <c r="C109" s="370"/>
      <c r="D109" s="317">
        <v>4</v>
      </c>
      <c r="E109" s="307" t="s">
        <v>364</v>
      </c>
      <c r="F109" s="398"/>
      <c r="G109" s="377"/>
      <c r="H109" s="152"/>
      <c r="I109" s="207"/>
    </row>
    <row r="110" spans="1:114" s="245" customFormat="1" ht="22.5" customHeight="1">
      <c r="A110" s="229" t="s">
        <v>20</v>
      </c>
      <c r="B110" s="252">
        <f>SUM(B99:B99)</f>
        <v>2435</v>
      </c>
      <c r="C110" s="370"/>
      <c r="D110" s="220">
        <f>SUM(D99:D109)</f>
        <v>361763.28</v>
      </c>
      <c r="E110" s="221"/>
      <c r="F110" s="160">
        <f>F105</f>
        <v>0</v>
      </c>
      <c r="G110" s="240"/>
      <c r="H110" s="250">
        <f>H105</f>
        <v>0</v>
      </c>
      <c r="I110" s="231"/>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174.75" customHeight="1" hidden="1">
      <c r="A111" s="229" t="s">
        <v>20</v>
      </c>
      <c r="B111" s="238">
        <f>SUM(B99:B110)</f>
        <v>4870</v>
      </c>
      <c r="C111" s="146"/>
      <c r="D111" s="221"/>
      <c r="E111" s="220"/>
      <c r="F111" s="159"/>
      <c r="G111" s="240"/>
      <c r="H111" s="158"/>
      <c r="I111" s="158"/>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6.5" customHeight="1" hidden="1">
      <c r="A112" s="263" t="s">
        <v>37</v>
      </c>
      <c r="B112" s="264">
        <v>10999</v>
      </c>
      <c r="C112" s="215" t="s">
        <v>52</v>
      </c>
      <c r="D112" s="221"/>
      <c r="E112" s="220"/>
      <c r="F112" s="159"/>
      <c r="G112" s="240"/>
      <c r="H112" s="158"/>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9" ht="17.25" customHeight="1" hidden="1">
      <c r="A113" s="263" t="s">
        <v>37</v>
      </c>
      <c r="B113" s="264">
        <v>1219</v>
      </c>
      <c r="C113" s="215" t="s">
        <v>43</v>
      </c>
      <c r="D113" s="262"/>
      <c r="E113" s="220"/>
      <c r="F113" s="162"/>
      <c r="G113" s="230"/>
      <c r="H113" s="259"/>
      <c r="I113" s="207"/>
    </row>
    <row r="114" spans="1:114" s="245" customFormat="1" ht="16.5" customHeight="1" hidden="1">
      <c r="A114" s="229" t="s">
        <v>20</v>
      </c>
      <c r="B114" s="238">
        <f>SUM(B112:B113)</f>
        <v>12218</v>
      </c>
      <c r="C114" s="146"/>
      <c r="D114" s="221"/>
      <c r="E114" s="220"/>
      <c r="F114" s="159"/>
      <c r="G114" s="240"/>
      <c r="H114" s="158"/>
      <c r="I114" s="158"/>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16.5" customHeight="1" hidden="1">
      <c r="A115" s="263" t="s">
        <v>30</v>
      </c>
      <c r="B115" s="261">
        <v>3133</v>
      </c>
      <c r="C115" s="215" t="s">
        <v>44</v>
      </c>
      <c r="D115" s="262"/>
      <c r="E115" s="220"/>
      <c r="F115" s="159"/>
      <c r="G115" s="240"/>
      <c r="H115" s="158"/>
      <c r="I115" s="158"/>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18.75" customHeight="1" hidden="1">
      <c r="A116" s="263" t="s">
        <v>30</v>
      </c>
      <c r="B116" s="261">
        <v>120</v>
      </c>
      <c r="C116" s="215" t="s">
        <v>36</v>
      </c>
      <c r="D116" s="262"/>
      <c r="E116" s="220"/>
      <c r="F116" s="159"/>
      <c r="G116" s="240"/>
      <c r="H116" s="158"/>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18.75" customHeight="1" hidden="1">
      <c r="A117" s="263" t="s">
        <v>30</v>
      </c>
      <c r="B117" s="261">
        <v>210</v>
      </c>
      <c r="C117" s="215" t="s">
        <v>36</v>
      </c>
      <c r="D117" s="262"/>
      <c r="E117" s="220"/>
      <c r="F117" s="159"/>
      <c r="G117" s="240"/>
      <c r="H117" s="158"/>
      <c r="I117" s="158"/>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16.5" customHeight="1" hidden="1">
      <c r="A118" s="229" t="s">
        <v>20</v>
      </c>
      <c r="B118" s="220">
        <f>SUM(B115:B117)</f>
        <v>3463</v>
      </c>
      <c r="C118" s="146"/>
      <c r="D118" s="221"/>
      <c r="E118" s="220"/>
      <c r="F118" s="159"/>
      <c r="G118" s="240"/>
      <c r="H118" s="158"/>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7.25" customHeight="1" hidden="1">
      <c r="A119" s="263" t="s">
        <v>31</v>
      </c>
      <c r="B119" s="265">
        <v>60</v>
      </c>
      <c r="C119" s="215" t="s">
        <v>48</v>
      </c>
      <c r="D119" s="265">
        <v>149639.87</v>
      </c>
      <c r="E119" s="289" t="s">
        <v>47</v>
      </c>
      <c r="F119" s="156"/>
      <c r="G119" s="240"/>
      <c r="H119" s="263"/>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17.25" customHeight="1" hidden="1">
      <c r="A120" s="263" t="s">
        <v>31</v>
      </c>
      <c r="B120" s="265">
        <v>3951.33</v>
      </c>
      <c r="C120" s="215" t="s">
        <v>51</v>
      </c>
      <c r="D120" s="265"/>
      <c r="E120" s="289"/>
      <c r="F120" s="156"/>
      <c r="G120" s="240"/>
      <c r="H120" s="263"/>
      <c r="I120" s="158"/>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35.25" customHeight="1">
      <c r="A121" s="366" t="s">
        <v>37</v>
      </c>
      <c r="B121" s="359">
        <f>13985+3626.7+1730</f>
        <v>19341.7</v>
      </c>
      <c r="C121" s="338" t="s">
        <v>441</v>
      </c>
      <c r="D121" s="333">
        <f>(2*2160.6)+130000</f>
        <v>134321.2</v>
      </c>
      <c r="E121" s="313" t="s">
        <v>439</v>
      </c>
      <c r="F121" s="326"/>
      <c r="G121" s="330"/>
      <c r="H121" s="263"/>
      <c r="I121" s="158"/>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24" customHeight="1">
      <c r="A122" s="372"/>
      <c r="B122" s="373"/>
      <c r="C122" s="332" t="s">
        <v>486</v>
      </c>
      <c r="D122" s="333">
        <v>673.99</v>
      </c>
      <c r="E122" s="313" t="s">
        <v>484</v>
      </c>
      <c r="F122" s="326"/>
      <c r="G122" s="330"/>
      <c r="H122" s="263"/>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44.25" customHeight="1">
      <c r="A123" s="372"/>
      <c r="B123" s="373"/>
      <c r="C123" s="339" t="s">
        <v>473</v>
      </c>
      <c r="D123" s="317">
        <f>27392.99+5046.47+13328.36+14450.39+11595.74</f>
        <v>71813.95000000001</v>
      </c>
      <c r="E123" s="333" t="s">
        <v>447</v>
      </c>
      <c r="F123" s="326"/>
      <c r="G123" s="330"/>
      <c r="H123" s="263"/>
      <c r="I123" s="158"/>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140.25" customHeight="1">
      <c r="A124" s="372"/>
      <c r="B124" s="373"/>
      <c r="C124" s="348" t="s">
        <v>457</v>
      </c>
      <c r="D124" s="317">
        <f>14581+4322+2550+4816+1414.2+58831</f>
        <v>86514.2</v>
      </c>
      <c r="E124" s="314" t="s">
        <v>424</v>
      </c>
      <c r="F124" s="326"/>
      <c r="G124" s="330"/>
      <c r="H124" s="263"/>
      <c r="I124" s="158"/>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46.5" customHeight="1">
      <c r="A125" s="372"/>
      <c r="B125" s="373"/>
      <c r="C125" s="348" t="s">
        <v>459</v>
      </c>
      <c r="D125" s="317">
        <v>8480</v>
      </c>
      <c r="E125" s="314" t="s">
        <v>449</v>
      </c>
      <c r="F125" s="326"/>
      <c r="G125" s="330"/>
      <c r="H125" s="263"/>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9" ht="24" customHeight="1">
      <c r="A126" s="372"/>
      <c r="B126" s="373"/>
      <c r="C126" s="399" t="s">
        <v>456</v>
      </c>
      <c r="D126" s="317">
        <v>783</v>
      </c>
      <c r="E126" s="333" t="s">
        <v>390</v>
      </c>
      <c r="F126" s="396"/>
      <c r="G126" s="376"/>
      <c r="H126" s="259"/>
      <c r="I126" s="207"/>
    </row>
    <row r="127" spans="1:9" ht="20.25" customHeight="1">
      <c r="A127" s="372"/>
      <c r="B127" s="373"/>
      <c r="C127" s="400"/>
      <c r="D127" s="317">
        <f>5160+6516+3967+5919+45+10+3723+10</f>
        <v>25350</v>
      </c>
      <c r="E127" s="317" t="s">
        <v>422</v>
      </c>
      <c r="F127" s="397"/>
      <c r="G127" s="386"/>
      <c r="H127" s="259"/>
      <c r="I127" s="312"/>
    </row>
    <row r="128" spans="1:9" ht="20.25" customHeight="1">
      <c r="A128" s="372"/>
      <c r="B128" s="373"/>
      <c r="C128" s="400"/>
      <c r="D128" s="317">
        <v>4179</v>
      </c>
      <c r="E128" s="314" t="s">
        <v>427</v>
      </c>
      <c r="F128" s="397"/>
      <c r="G128" s="386"/>
      <c r="H128" s="259"/>
      <c r="I128" s="312"/>
    </row>
    <row r="129" spans="1:9" ht="21" customHeight="1">
      <c r="A129" s="372"/>
      <c r="B129" s="373"/>
      <c r="C129" s="400"/>
      <c r="D129" s="317">
        <f>1204+2500</f>
        <v>3704</v>
      </c>
      <c r="E129" s="314" t="s">
        <v>426</v>
      </c>
      <c r="F129" s="397"/>
      <c r="G129" s="386"/>
      <c r="H129" s="259"/>
      <c r="I129" s="312"/>
    </row>
    <row r="130" spans="1:9" ht="29.25" customHeight="1">
      <c r="A130" s="367"/>
      <c r="B130" s="360"/>
      <c r="C130" s="400"/>
      <c r="D130" s="317">
        <v>4</v>
      </c>
      <c r="E130" s="307" t="s">
        <v>364</v>
      </c>
      <c r="F130" s="398"/>
      <c r="G130" s="377"/>
      <c r="H130" s="162"/>
      <c r="I130" s="213"/>
    </row>
    <row r="131" spans="1:114" s="245" customFormat="1" ht="25.5" customHeight="1">
      <c r="A131" s="229" t="s">
        <v>20</v>
      </c>
      <c r="B131" s="252">
        <f>SUM(B121:B121)</f>
        <v>19341.7</v>
      </c>
      <c r="C131" s="401"/>
      <c r="D131" s="220">
        <f>SUM(D121:D130)</f>
        <v>335823.34</v>
      </c>
      <c r="E131" s="221"/>
      <c r="F131" s="160">
        <f>F126</f>
        <v>0</v>
      </c>
      <c r="G131" s="240"/>
      <c r="H131" s="158">
        <f>SUM(H126:H130)</f>
        <v>0</v>
      </c>
      <c r="I131" s="231"/>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27" customHeight="1">
      <c r="A132" s="366" t="s">
        <v>391</v>
      </c>
      <c r="B132" s="359">
        <v>920</v>
      </c>
      <c r="C132" s="340" t="s">
        <v>394</v>
      </c>
      <c r="D132" s="342">
        <v>783</v>
      </c>
      <c r="E132" s="344" t="s">
        <v>390</v>
      </c>
      <c r="F132" s="396"/>
      <c r="G132" s="376"/>
      <c r="H132" s="259"/>
      <c r="I132" s="207"/>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9" ht="16.5" customHeight="1">
      <c r="A133" s="367"/>
      <c r="B133" s="360"/>
      <c r="C133" s="215" t="s">
        <v>43</v>
      </c>
      <c r="D133" s="262">
        <v>5302.11</v>
      </c>
      <c r="E133" s="333" t="s">
        <v>447</v>
      </c>
      <c r="F133" s="398"/>
      <c r="G133" s="377"/>
      <c r="H133" s="262"/>
      <c r="I133" s="299"/>
    </row>
    <row r="134" spans="1:114" s="245" customFormat="1" ht="25.5" customHeight="1">
      <c r="A134" s="229" t="s">
        <v>20</v>
      </c>
      <c r="B134" s="238">
        <f>SUM(B132:B132)</f>
        <v>920</v>
      </c>
      <c r="C134" s="147"/>
      <c r="D134" s="220">
        <f>SUM(D132:D133)</f>
        <v>6085.11</v>
      </c>
      <c r="E134" s="221"/>
      <c r="F134" s="160">
        <f>F132</f>
        <v>0</v>
      </c>
      <c r="G134" s="240"/>
      <c r="H134" s="158">
        <f>SUM(H132:H133)</f>
        <v>0</v>
      </c>
      <c r="I134" s="231"/>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4.75" customHeight="1">
      <c r="A135" s="366" t="s">
        <v>395</v>
      </c>
      <c r="B135" s="359">
        <v>1760</v>
      </c>
      <c r="C135" s="343" t="s">
        <v>394</v>
      </c>
      <c r="D135" s="342">
        <v>1566</v>
      </c>
      <c r="E135" s="344" t="s">
        <v>390</v>
      </c>
      <c r="F135" s="396"/>
      <c r="G135" s="376"/>
      <c r="H135" s="259"/>
      <c r="I135" s="207"/>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44.25" customHeight="1">
      <c r="A136" s="372"/>
      <c r="B136" s="373"/>
      <c r="C136" s="339" t="s">
        <v>473</v>
      </c>
      <c r="D136" s="317">
        <f>27392.99+5046.47+13328.36+8347.39+11595.74</f>
        <v>65710.95000000001</v>
      </c>
      <c r="E136" s="333" t="s">
        <v>447</v>
      </c>
      <c r="F136" s="397"/>
      <c r="G136" s="386"/>
      <c r="H136" s="259"/>
      <c r="I136" s="207"/>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99" customHeight="1">
      <c r="A137" s="372"/>
      <c r="B137" s="373"/>
      <c r="C137" s="349" t="s">
        <v>458</v>
      </c>
      <c r="D137" s="317">
        <f>64607+1639.6+12600</f>
        <v>78846.6</v>
      </c>
      <c r="E137" s="350" t="s">
        <v>424</v>
      </c>
      <c r="F137" s="397"/>
      <c r="G137" s="386"/>
      <c r="H137" s="259"/>
      <c r="I137" s="207"/>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33.75" customHeight="1">
      <c r="A138" s="372"/>
      <c r="B138" s="373"/>
      <c r="C138" s="349" t="s">
        <v>459</v>
      </c>
      <c r="D138" s="317">
        <v>7080</v>
      </c>
      <c r="E138" s="350" t="s">
        <v>449</v>
      </c>
      <c r="F138" s="397"/>
      <c r="G138" s="386"/>
      <c r="H138" s="259"/>
      <c r="I138" s="207"/>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21.75" customHeight="1">
      <c r="A139" s="372"/>
      <c r="B139" s="373"/>
      <c r="C139" s="338" t="s">
        <v>486</v>
      </c>
      <c r="D139" s="333">
        <v>673.99</v>
      </c>
      <c r="E139" s="313" t="s">
        <v>484</v>
      </c>
      <c r="F139" s="397"/>
      <c r="G139" s="386"/>
      <c r="H139" s="259"/>
      <c r="I139" s="207"/>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9" ht="25.5" customHeight="1">
      <c r="A140" s="367"/>
      <c r="B140" s="360"/>
      <c r="C140" s="327" t="s">
        <v>442</v>
      </c>
      <c r="D140" s="333">
        <f>130000</f>
        <v>130000</v>
      </c>
      <c r="E140" s="313" t="s">
        <v>439</v>
      </c>
      <c r="F140" s="398"/>
      <c r="G140" s="377"/>
      <c r="H140" s="259"/>
      <c r="I140" s="207"/>
    </row>
    <row r="141" spans="1:114" s="245" customFormat="1" ht="21" customHeight="1">
      <c r="A141" s="229" t="s">
        <v>20</v>
      </c>
      <c r="B141" s="238">
        <f>SUM(B135:B140)</f>
        <v>1760</v>
      </c>
      <c r="C141" s="147"/>
      <c r="D141" s="220">
        <f>SUM(D135:D140)</f>
        <v>283877.54000000004</v>
      </c>
      <c r="E141" s="221"/>
      <c r="F141" s="160">
        <f>F135</f>
        <v>0</v>
      </c>
      <c r="G141" s="240"/>
      <c r="H141" s="158">
        <f>SUM(H135:H140)</f>
        <v>0</v>
      </c>
      <c r="I141" s="231"/>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0.75" customHeight="1" hidden="1">
      <c r="A142" s="366" t="s">
        <v>397</v>
      </c>
      <c r="B142" s="359">
        <f>110.7+9462.99+2080+701.3+661.8+1681.6</f>
        <v>14698.39</v>
      </c>
      <c r="C142" s="215"/>
      <c r="D142" s="261"/>
      <c r="E142" s="290"/>
      <c r="F142" s="396"/>
      <c r="G142" s="376"/>
      <c r="H142" s="158"/>
      <c r="I142" s="231"/>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42.75" customHeight="1">
      <c r="A143" s="372"/>
      <c r="B143" s="373"/>
      <c r="C143" s="332" t="s">
        <v>440</v>
      </c>
      <c r="D143" s="333">
        <f>2*2160.6</f>
        <v>4321.2</v>
      </c>
      <c r="E143" s="313" t="s">
        <v>439</v>
      </c>
      <c r="F143" s="397"/>
      <c r="G143" s="386"/>
      <c r="H143" s="158"/>
      <c r="I143" s="331"/>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93" customHeight="1">
      <c r="A144" s="372"/>
      <c r="B144" s="373"/>
      <c r="C144" s="339" t="s">
        <v>474</v>
      </c>
      <c r="D144" s="317">
        <f>34661.6+4870+10092.94+19992.54+211036.77+70999.8+17522.26+23191.48</f>
        <v>392367.38999999996</v>
      </c>
      <c r="E144" s="333" t="s">
        <v>447</v>
      </c>
      <c r="F144" s="397"/>
      <c r="G144" s="386"/>
      <c r="H144" s="158"/>
      <c r="I144" s="331"/>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92.25" customHeight="1">
      <c r="A145" s="372"/>
      <c r="B145" s="373"/>
      <c r="C145" s="348" t="s">
        <v>460</v>
      </c>
      <c r="D145" s="317">
        <f>45+7029.2+1384.2+2100</f>
        <v>10558.4</v>
      </c>
      <c r="E145" s="314" t="s">
        <v>424</v>
      </c>
      <c r="F145" s="397"/>
      <c r="G145" s="386"/>
      <c r="H145" s="158"/>
      <c r="I145" s="331"/>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30" customHeight="1">
      <c r="A146" s="372"/>
      <c r="B146" s="373"/>
      <c r="C146" s="338" t="s">
        <v>485</v>
      </c>
      <c r="D146" s="333">
        <f>2127.92+541.09</f>
        <v>2669.01</v>
      </c>
      <c r="E146" s="313" t="s">
        <v>484</v>
      </c>
      <c r="F146" s="397"/>
      <c r="G146" s="386"/>
      <c r="H146" s="158"/>
      <c r="I146" s="331"/>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31.5" customHeight="1">
      <c r="A147" s="372"/>
      <c r="B147" s="373"/>
      <c r="C147" s="348" t="s">
        <v>459</v>
      </c>
      <c r="D147" s="317">
        <f>2800+380+4100+1200</f>
        <v>8480</v>
      </c>
      <c r="E147" s="314" t="s">
        <v>449</v>
      </c>
      <c r="F147" s="397"/>
      <c r="G147" s="386"/>
      <c r="H147" s="158"/>
      <c r="I147" s="331"/>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33" customHeight="1">
      <c r="A148" s="372"/>
      <c r="B148" s="373"/>
      <c r="C148" s="366" t="s">
        <v>429</v>
      </c>
      <c r="D148" s="317">
        <v>4</v>
      </c>
      <c r="E148" s="307" t="s">
        <v>364</v>
      </c>
      <c r="F148" s="397"/>
      <c r="G148" s="386"/>
      <c r="H148" s="156"/>
      <c r="I148" s="213"/>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20.25" customHeight="1">
      <c r="A149" s="372"/>
      <c r="B149" s="373"/>
      <c r="C149" s="372"/>
      <c r="D149" s="317">
        <v>75042</v>
      </c>
      <c r="E149" s="313" t="s">
        <v>407</v>
      </c>
      <c r="F149" s="397"/>
      <c r="G149" s="386"/>
      <c r="H149" s="156"/>
      <c r="I149" s="213"/>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21" customHeight="1">
      <c r="A150" s="372"/>
      <c r="B150" s="373"/>
      <c r="C150" s="372"/>
      <c r="D150" s="317">
        <v>932</v>
      </c>
      <c r="E150" s="314" t="s">
        <v>426</v>
      </c>
      <c r="F150" s="397"/>
      <c r="G150" s="386"/>
      <c r="H150" s="156"/>
      <c r="I150" s="213"/>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26.25" customHeight="1">
      <c r="A151" s="372"/>
      <c r="B151" s="373"/>
      <c r="C151" s="372"/>
      <c r="D151" s="317">
        <f>66840+20273+267360</f>
        <v>354473</v>
      </c>
      <c r="E151" s="314" t="s">
        <v>409</v>
      </c>
      <c r="F151" s="397"/>
      <c r="G151" s="386"/>
      <c r="H151" s="156"/>
      <c r="I151" s="213"/>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9" ht="27.75" customHeight="1">
      <c r="A152" s="372"/>
      <c r="B152" s="373"/>
      <c r="C152" s="367"/>
      <c r="D152" s="333">
        <v>783</v>
      </c>
      <c r="E152" s="261" t="s">
        <v>390</v>
      </c>
      <c r="F152" s="398"/>
      <c r="G152" s="377"/>
      <c r="H152" s="156"/>
      <c r="I152" s="213"/>
    </row>
    <row r="153" spans="1:9" ht="47.25" customHeight="1">
      <c r="A153" s="367"/>
      <c r="B153" s="360"/>
      <c r="C153" s="335" t="s">
        <v>436</v>
      </c>
      <c r="D153" s="333">
        <v>9712.21</v>
      </c>
      <c r="E153" s="333" t="s">
        <v>437</v>
      </c>
      <c r="F153" s="322"/>
      <c r="G153" s="320"/>
      <c r="H153" s="156"/>
      <c r="I153" s="213"/>
    </row>
    <row r="154" spans="1:114" s="245" customFormat="1" ht="24" customHeight="1">
      <c r="A154" s="229" t="s">
        <v>20</v>
      </c>
      <c r="B154" s="252">
        <f>SUM(B142:B142)</f>
        <v>14698.39</v>
      </c>
      <c r="C154" s="215"/>
      <c r="D154" s="220">
        <f>SUM(D143:D153)</f>
        <v>859342.21</v>
      </c>
      <c r="E154" s="262"/>
      <c r="F154" s="160">
        <f>F142</f>
        <v>0</v>
      </c>
      <c r="G154" s="240"/>
      <c r="H154" s="250">
        <f>SUM(H142:H152)</f>
        <v>0</v>
      </c>
      <c r="I154" s="231"/>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37.5" customHeight="1">
      <c r="A155" s="365" t="s">
        <v>58</v>
      </c>
      <c r="B155" s="359"/>
      <c r="C155" s="234" t="s">
        <v>388</v>
      </c>
      <c r="D155" s="261">
        <v>783</v>
      </c>
      <c r="E155" s="262" t="s">
        <v>390</v>
      </c>
      <c r="F155" s="393"/>
      <c r="G155" s="376"/>
      <c r="H155" s="259"/>
      <c r="I155" s="207"/>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82.5" customHeight="1">
      <c r="A156" s="365"/>
      <c r="B156" s="373"/>
      <c r="C156" s="340" t="s">
        <v>461</v>
      </c>
      <c r="D156" s="333">
        <f>88900+1851.2+15961</f>
        <v>106712.2</v>
      </c>
      <c r="E156" s="262" t="s">
        <v>424</v>
      </c>
      <c r="F156" s="394"/>
      <c r="G156" s="386"/>
      <c r="H156" s="259"/>
      <c r="I156" s="207"/>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27" customHeight="1">
      <c r="A157" s="365"/>
      <c r="B157" s="373"/>
      <c r="C157" s="340" t="s">
        <v>462</v>
      </c>
      <c r="D157" s="333">
        <v>8100</v>
      </c>
      <c r="E157" s="262" t="s">
        <v>449</v>
      </c>
      <c r="F157" s="394"/>
      <c r="G157" s="386"/>
      <c r="H157" s="259"/>
      <c r="I157" s="207"/>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7" customHeight="1">
      <c r="A158" s="365"/>
      <c r="B158" s="373"/>
      <c r="C158" s="338" t="s">
        <v>486</v>
      </c>
      <c r="D158" s="333">
        <v>1937.71</v>
      </c>
      <c r="E158" s="313" t="s">
        <v>484</v>
      </c>
      <c r="F158" s="394"/>
      <c r="G158" s="386"/>
      <c r="H158" s="259"/>
      <c r="I158" s="207"/>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27" customHeight="1">
      <c r="A159" s="365"/>
      <c r="B159" s="360"/>
      <c r="C159" s="339" t="s">
        <v>481</v>
      </c>
      <c r="D159" s="317">
        <f>5046.47+11595.74+19396.43</f>
        <v>36038.64</v>
      </c>
      <c r="E159" s="333" t="s">
        <v>447</v>
      </c>
      <c r="F159" s="395"/>
      <c r="G159" s="377"/>
      <c r="H159" s="263"/>
      <c r="I159" s="158"/>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19.5" customHeight="1">
      <c r="A160" s="229" t="s">
        <v>20</v>
      </c>
      <c r="B160" s="266">
        <f>B155</f>
        <v>0</v>
      </c>
      <c r="C160" s="146"/>
      <c r="D160" s="266">
        <f>SUM(D155:D159)</f>
        <v>153571.55</v>
      </c>
      <c r="E160" s="220"/>
      <c r="F160" s="159">
        <f>F155</f>
        <v>0</v>
      </c>
      <c r="G160" s="240"/>
      <c r="H160" s="158">
        <f>SUM(H155:H159)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45" customFormat="1" ht="21.75" customHeight="1">
      <c r="A161" s="366" t="s">
        <v>320</v>
      </c>
      <c r="B161" s="402"/>
      <c r="C161" s="338" t="s">
        <v>388</v>
      </c>
      <c r="D161" s="346">
        <v>783</v>
      </c>
      <c r="E161" s="317" t="s">
        <v>398</v>
      </c>
      <c r="F161" s="393"/>
      <c r="G161" s="376"/>
      <c r="H161" s="158"/>
      <c r="I161" s="158"/>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row>
    <row r="162" spans="1:114" s="245" customFormat="1" ht="21.75" customHeight="1">
      <c r="A162" s="372"/>
      <c r="B162" s="403"/>
      <c r="C162" s="341" t="s">
        <v>43</v>
      </c>
      <c r="D162" s="346">
        <v>11955.54</v>
      </c>
      <c r="E162" s="333" t="s">
        <v>447</v>
      </c>
      <c r="F162" s="394"/>
      <c r="G162" s="386"/>
      <c r="H162" s="158"/>
      <c r="I162" s="158"/>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row>
    <row r="163" spans="1:114" s="245" customFormat="1" ht="19.5" customHeight="1">
      <c r="A163" s="372"/>
      <c r="B163" s="403"/>
      <c r="C163" s="341" t="s">
        <v>430</v>
      </c>
      <c r="D163" s="333">
        <v>7100</v>
      </c>
      <c r="E163" s="314" t="s">
        <v>426</v>
      </c>
      <c r="F163" s="395"/>
      <c r="G163" s="377"/>
      <c r="H163" s="263"/>
      <c r="I163" s="158"/>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row>
    <row r="164" spans="1:114" s="245" customFormat="1" ht="21" customHeight="1">
      <c r="A164" s="229" t="s">
        <v>20</v>
      </c>
      <c r="B164" s="266">
        <f>SUM(B161)</f>
        <v>0</v>
      </c>
      <c r="C164" s="146"/>
      <c r="D164" s="266">
        <f>SUM(D161:D163)</f>
        <v>19838.54</v>
      </c>
      <c r="E164" s="220"/>
      <c r="F164" s="159">
        <f>F161</f>
        <v>0</v>
      </c>
      <c r="G164" s="240"/>
      <c r="H164" s="158">
        <f>SUM(H161:H163)</f>
        <v>0</v>
      </c>
      <c r="I164" s="158"/>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row>
    <row r="165" spans="1:114" s="245" customFormat="1" ht="21" customHeight="1">
      <c r="A165" s="366" t="s">
        <v>399</v>
      </c>
      <c r="B165" s="402">
        <v>2180</v>
      </c>
      <c r="C165" s="217" t="s">
        <v>43</v>
      </c>
      <c r="D165" s="346">
        <v>17271.71</v>
      </c>
      <c r="E165" s="333" t="s">
        <v>447</v>
      </c>
      <c r="F165" s="337"/>
      <c r="G165" s="330"/>
      <c r="H165" s="158"/>
      <c r="I165" s="158"/>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row>
    <row r="166" spans="1:114" s="245" customFormat="1" ht="36" customHeight="1">
      <c r="A166" s="372"/>
      <c r="B166" s="403"/>
      <c r="C166" s="399" t="s">
        <v>431</v>
      </c>
      <c r="D166" s="333">
        <v>2</v>
      </c>
      <c r="E166" s="347" t="s">
        <v>332</v>
      </c>
      <c r="F166" s="393"/>
      <c r="G166" s="376"/>
      <c r="H166" s="261"/>
      <c r="I166" s="299"/>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row>
    <row r="167" spans="1:114" s="245" customFormat="1" ht="24.75" customHeight="1">
      <c r="A167" s="372"/>
      <c r="B167" s="403"/>
      <c r="C167" s="400"/>
      <c r="D167" s="333">
        <v>220</v>
      </c>
      <c r="E167" s="314" t="s">
        <v>424</v>
      </c>
      <c r="F167" s="394"/>
      <c r="G167" s="386"/>
      <c r="H167" s="261"/>
      <c r="I167" s="299"/>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4"/>
      <c r="DF167" s="244"/>
      <c r="DG167" s="244"/>
      <c r="DH167" s="244"/>
      <c r="DI167" s="244"/>
      <c r="DJ167" s="244"/>
    </row>
    <row r="168" spans="1:114" s="245" customFormat="1" ht="26.25" customHeight="1">
      <c r="A168" s="367"/>
      <c r="B168" s="404"/>
      <c r="C168" s="401"/>
      <c r="D168" s="342">
        <v>5505</v>
      </c>
      <c r="E168" s="317" t="s">
        <v>426</v>
      </c>
      <c r="F168" s="395"/>
      <c r="G168" s="377"/>
      <c r="H168" s="158"/>
      <c r="I168" s="158"/>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4"/>
      <c r="DF168" s="244"/>
      <c r="DG168" s="244"/>
      <c r="DH168" s="244"/>
      <c r="DI168" s="244"/>
      <c r="DJ168" s="244"/>
    </row>
    <row r="169" spans="1:114" s="245" customFormat="1" ht="19.5" customHeight="1">
      <c r="A169" s="229" t="s">
        <v>20</v>
      </c>
      <c r="B169" s="220">
        <f>SUM(B165)</f>
        <v>2180</v>
      </c>
      <c r="C169" s="146"/>
      <c r="D169" s="221">
        <f>SUM(D165:D168)</f>
        <v>22998.71</v>
      </c>
      <c r="E169" s="311"/>
      <c r="F169" s="159">
        <f>F166</f>
        <v>0</v>
      </c>
      <c r="G169" s="240"/>
      <c r="H169" s="158">
        <f>SUM(H166:H168)</f>
        <v>0</v>
      </c>
      <c r="I169" s="158"/>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row>
    <row r="170" spans="1:114" s="245" customFormat="1" ht="21" customHeight="1">
      <c r="A170" s="366" t="s">
        <v>59</v>
      </c>
      <c r="B170" s="402">
        <v>1960</v>
      </c>
      <c r="C170" s="218" t="s">
        <v>372</v>
      </c>
      <c r="D170" s="261"/>
      <c r="E170" s="292"/>
      <c r="F170" s="393"/>
      <c r="G170" s="376"/>
      <c r="H170" s="259"/>
      <c r="I170" s="207"/>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row>
    <row r="171" spans="1:114" s="245" customFormat="1" ht="29.25" customHeight="1">
      <c r="A171" s="367"/>
      <c r="B171" s="404"/>
      <c r="C171" s="215" t="s">
        <v>43</v>
      </c>
      <c r="D171" s="287">
        <v>17067.46</v>
      </c>
      <c r="E171" s="333" t="s">
        <v>447</v>
      </c>
      <c r="F171" s="395"/>
      <c r="G171" s="377"/>
      <c r="H171" s="158"/>
      <c r="I171" s="158"/>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row>
    <row r="172" spans="1:114" s="245" customFormat="1" ht="19.5" customHeight="1">
      <c r="A172" s="229" t="s">
        <v>20</v>
      </c>
      <c r="B172" s="220">
        <f>B170</f>
        <v>1960</v>
      </c>
      <c r="C172" s="146"/>
      <c r="D172" s="221">
        <f>D170+D171</f>
        <v>17067.46</v>
      </c>
      <c r="E172" s="261"/>
      <c r="F172" s="159">
        <f>F170</f>
        <v>0</v>
      </c>
      <c r="G172" s="240"/>
      <c r="H172" s="158">
        <f>SUM(H170:H171)</f>
        <v>0</v>
      </c>
      <c r="I172" s="158"/>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row>
    <row r="173" spans="1:114" s="245" customFormat="1" ht="30.75" customHeight="1">
      <c r="A173" s="366" t="s">
        <v>323</v>
      </c>
      <c r="B173" s="402"/>
      <c r="C173" s="219" t="s">
        <v>388</v>
      </c>
      <c r="D173" s="262">
        <v>783</v>
      </c>
      <c r="E173" s="280" t="s">
        <v>390</v>
      </c>
      <c r="F173" s="393"/>
      <c r="G173" s="405"/>
      <c r="H173" s="259"/>
      <c r="I173" s="207"/>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row>
    <row r="174" spans="1:114" s="245" customFormat="1" ht="33" customHeight="1">
      <c r="A174" s="367"/>
      <c r="B174" s="404"/>
      <c r="C174" s="325" t="s">
        <v>467</v>
      </c>
      <c r="D174" s="287">
        <v>49401.54</v>
      </c>
      <c r="E174" s="261" t="s">
        <v>447</v>
      </c>
      <c r="F174" s="395"/>
      <c r="G174" s="406"/>
      <c r="H174" s="158"/>
      <c r="I174" s="158"/>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row>
    <row r="175" spans="1:114" s="245" customFormat="1" ht="21.75" customHeight="1">
      <c r="A175" s="229" t="s">
        <v>20</v>
      </c>
      <c r="B175" s="220">
        <f>B173</f>
        <v>0</v>
      </c>
      <c r="C175" s="146"/>
      <c r="D175" s="221">
        <f>D174+D173</f>
        <v>50184.54</v>
      </c>
      <c r="E175" s="261"/>
      <c r="F175" s="159">
        <f>F173</f>
        <v>0</v>
      </c>
      <c r="G175" s="240"/>
      <c r="H175" s="158">
        <f>SUM(H173:H174)</f>
        <v>0</v>
      </c>
      <c r="I175" s="158"/>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row>
    <row r="176" spans="1:114" s="245" customFormat="1" ht="30.75" customHeight="1">
      <c r="A176" s="366" t="s">
        <v>400</v>
      </c>
      <c r="B176" s="402">
        <v>1670</v>
      </c>
      <c r="C176" s="339" t="s">
        <v>473</v>
      </c>
      <c r="D176" s="317">
        <f>27392.99+5046.47+13328.36+5340.81+11595.74</f>
        <v>62704.37</v>
      </c>
      <c r="E176" s="261" t="s">
        <v>447</v>
      </c>
      <c r="F176" s="337"/>
      <c r="G176" s="330"/>
      <c r="H176" s="158"/>
      <c r="I176" s="158"/>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row>
    <row r="177" spans="1:114" s="245" customFormat="1" ht="30.75" customHeight="1">
      <c r="A177" s="372"/>
      <c r="B177" s="403"/>
      <c r="C177" s="340" t="s">
        <v>463</v>
      </c>
      <c r="D177" s="333">
        <v>8580</v>
      </c>
      <c r="E177" s="262" t="s">
        <v>449</v>
      </c>
      <c r="F177" s="337"/>
      <c r="G177" s="330"/>
      <c r="H177" s="158"/>
      <c r="I177" s="158"/>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row>
    <row r="178" spans="1:114" s="245" customFormat="1" ht="99" customHeight="1">
      <c r="A178" s="372"/>
      <c r="B178" s="403"/>
      <c r="C178" s="340" t="s">
        <v>464</v>
      </c>
      <c r="D178" s="333">
        <f>20000+65710.9+13911.2</f>
        <v>99622.09999999999</v>
      </c>
      <c r="E178" s="262" t="s">
        <v>424</v>
      </c>
      <c r="F178" s="337"/>
      <c r="G178" s="330"/>
      <c r="H178" s="158"/>
      <c r="I178" s="158"/>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row>
    <row r="179" spans="1:114" s="245" customFormat="1" ht="27.75" customHeight="1">
      <c r="A179" s="372"/>
      <c r="B179" s="403"/>
      <c r="C179" s="219" t="s">
        <v>372</v>
      </c>
      <c r="D179" s="287"/>
      <c r="E179" s="214"/>
      <c r="F179" s="393"/>
      <c r="G179" s="376"/>
      <c r="H179" s="261"/>
      <c r="I179" s="299"/>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c r="CO179" s="244"/>
      <c r="CP179" s="244"/>
      <c r="CQ179" s="244"/>
      <c r="CR179" s="244"/>
      <c r="CS179" s="244"/>
      <c r="CT179" s="244"/>
      <c r="CU179" s="244"/>
      <c r="CV179" s="244"/>
      <c r="CW179" s="244"/>
      <c r="CX179" s="244"/>
      <c r="CY179" s="244"/>
      <c r="CZ179" s="244"/>
      <c r="DA179" s="244"/>
      <c r="DB179" s="244"/>
      <c r="DC179" s="244"/>
      <c r="DD179" s="244"/>
      <c r="DE179" s="244"/>
      <c r="DF179" s="244"/>
      <c r="DG179" s="244"/>
      <c r="DH179" s="244"/>
      <c r="DI179" s="244"/>
      <c r="DJ179" s="244"/>
    </row>
    <row r="180" spans="1:114" s="245" customFormat="1" ht="22.5" customHeight="1">
      <c r="A180" s="372"/>
      <c r="B180" s="403"/>
      <c r="C180" s="338" t="s">
        <v>486</v>
      </c>
      <c r="D180" s="333">
        <v>673.99</v>
      </c>
      <c r="E180" s="313" t="s">
        <v>484</v>
      </c>
      <c r="F180" s="394"/>
      <c r="G180" s="386"/>
      <c r="H180" s="261"/>
      <c r="I180" s="299"/>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c r="DE180" s="244"/>
      <c r="DF180" s="244"/>
      <c r="DG180" s="244"/>
      <c r="DH180" s="244"/>
      <c r="DI180" s="244"/>
      <c r="DJ180" s="244"/>
    </row>
    <row r="181" spans="1:114" s="245" customFormat="1" ht="36">
      <c r="A181" s="367"/>
      <c r="B181" s="404"/>
      <c r="C181" s="332" t="s">
        <v>440</v>
      </c>
      <c r="D181" s="333">
        <v>2160.6</v>
      </c>
      <c r="E181" s="313" t="s">
        <v>439</v>
      </c>
      <c r="F181" s="395"/>
      <c r="G181" s="377"/>
      <c r="H181" s="158"/>
      <c r="I181" s="158"/>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c r="DE181" s="244"/>
      <c r="DF181" s="244"/>
      <c r="DG181" s="244"/>
      <c r="DH181" s="244"/>
      <c r="DI181" s="244"/>
      <c r="DJ181" s="244"/>
    </row>
    <row r="182" spans="1:114" s="245" customFormat="1" ht="19.5" customHeight="1">
      <c r="A182" s="229" t="s">
        <v>20</v>
      </c>
      <c r="B182" s="220">
        <f>SUM(B176)</f>
        <v>1670</v>
      </c>
      <c r="C182" s="146"/>
      <c r="D182" s="221">
        <f>SUM(D176:D181)</f>
        <v>173741.05999999997</v>
      </c>
      <c r="E182" s="261"/>
      <c r="F182" s="159">
        <f>F179</f>
        <v>0</v>
      </c>
      <c r="G182" s="240"/>
      <c r="H182" s="158">
        <f>SUM(H179:H181)</f>
        <v>0</v>
      </c>
      <c r="I182" s="158"/>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c r="CO182" s="244"/>
      <c r="CP182" s="244"/>
      <c r="CQ182" s="244"/>
      <c r="CR182" s="244"/>
      <c r="CS182" s="244"/>
      <c r="CT182" s="244"/>
      <c r="CU182" s="244"/>
      <c r="CV182" s="244"/>
      <c r="CW182" s="244"/>
      <c r="CX182" s="244"/>
      <c r="CY182" s="244"/>
      <c r="CZ182" s="244"/>
      <c r="DA182" s="244"/>
      <c r="DB182" s="244"/>
      <c r="DC182" s="244"/>
      <c r="DD182" s="244"/>
      <c r="DE182" s="244"/>
      <c r="DF182" s="244"/>
      <c r="DG182" s="244"/>
      <c r="DH182" s="244"/>
      <c r="DI182" s="244"/>
      <c r="DJ182" s="244"/>
    </row>
    <row r="183" spans="1:114" s="245" customFormat="1" ht="20.25" customHeight="1" hidden="1">
      <c r="A183" s="366" t="s">
        <v>61</v>
      </c>
      <c r="B183" s="402"/>
      <c r="C183" s="387"/>
      <c r="D183" s="287"/>
      <c r="E183" s="214"/>
      <c r="F183" s="393"/>
      <c r="G183" s="376"/>
      <c r="H183" s="259"/>
      <c r="I183" s="207"/>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c r="CO183" s="244"/>
      <c r="CP183" s="244"/>
      <c r="CQ183" s="244"/>
      <c r="CR183" s="244"/>
      <c r="CS183" s="244"/>
      <c r="CT183" s="244"/>
      <c r="CU183" s="244"/>
      <c r="CV183" s="244"/>
      <c r="CW183" s="244"/>
      <c r="CX183" s="244"/>
      <c r="CY183" s="244"/>
      <c r="CZ183" s="244"/>
      <c r="DA183" s="244"/>
      <c r="DB183" s="244"/>
      <c r="DC183" s="244"/>
      <c r="DD183" s="244"/>
      <c r="DE183" s="244"/>
      <c r="DF183" s="244"/>
      <c r="DG183" s="244"/>
      <c r="DH183" s="244"/>
      <c r="DI183" s="244"/>
      <c r="DJ183" s="244"/>
    </row>
    <row r="184" spans="1:114" s="245" customFormat="1" ht="0.75" customHeight="1" hidden="1">
      <c r="A184" s="372"/>
      <c r="B184" s="403"/>
      <c r="C184" s="389"/>
      <c r="D184" s="293"/>
      <c r="E184" s="293"/>
      <c r="F184" s="394"/>
      <c r="G184" s="386"/>
      <c r="H184" s="158"/>
      <c r="I184" s="158"/>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c r="CO184" s="244"/>
      <c r="CP184" s="244"/>
      <c r="CQ184" s="244"/>
      <c r="CR184" s="244"/>
      <c r="CS184" s="244"/>
      <c r="CT184" s="244"/>
      <c r="CU184" s="244"/>
      <c r="CV184" s="244"/>
      <c r="CW184" s="244"/>
      <c r="CX184" s="244"/>
      <c r="CY184" s="244"/>
      <c r="CZ184" s="244"/>
      <c r="DA184" s="244"/>
      <c r="DB184" s="244"/>
      <c r="DC184" s="244"/>
      <c r="DD184" s="244"/>
      <c r="DE184" s="244"/>
      <c r="DF184" s="244"/>
      <c r="DG184" s="244"/>
      <c r="DH184" s="244"/>
      <c r="DI184" s="244"/>
      <c r="DJ184" s="244"/>
    </row>
    <row r="185" spans="1:114" s="245" customFormat="1" ht="20.25" customHeight="1" hidden="1">
      <c r="A185" s="367"/>
      <c r="B185" s="404"/>
      <c r="C185" s="215"/>
      <c r="D185" s="261"/>
      <c r="E185" s="280"/>
      <c r="F185" s="395"/>
      <c r="G185" s="377"/>
      <c r="H185" s="158"/>
      <c r="I185" s="158"/>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c r="CO185" s="244"/>
      <c r="CP185" s="244"/>
      <c r="CQ185" s="244"/>
      <c r="CR185" s="244"/>
      <c r="CS185" s="244"/>
      <c r="CT185" s="244"/>
      <c r="CU185" s="244"/>
      <c r="CV185" s="244"/>
      <c r="CW185" s="244"/>
      <c r="CX185" s="244"/>
      <c r="CY185" s="244"/>
      <c r="CZ185" s="244"/>
      <c r="DA185" s="244"/>
      <c r="DB185" s="244"/>
      <c r="DC185" s="244"/>
      <c r="DD185" s="244"/>
      <c r="DE185" s="244"/>
      <c r="DF185" s="244"/>
      <c r="DG185" s="244"/>
      <c r="DH185" s="244"/>
      <c r="DI185" s="244"/>
      <c r="DJ185" s="244"/>
    </row>
    <row r="186" spans="1:114" s="245" customFormat="1" ht="19.5" customHeight="1" hidden="1">
      <c r="A186" s="229" t="s">
        <v>20</v>
      </c>
      <c r="B186" s="220">
        <f>SUM(B183)</f>
        <v>0</v>
      </c>
      <c r="C186" s="146"/>
      <c r="D186" s="221">
        <f>SUM(D183:D185)</f>
        <v>0</v>
      </c>
      <c r="E186" s="261"/>
      <c r="F186" s="159">
        <f>F183</f>
        <v>0</v>
      </c>
      <c r="G186" s="240"/>
      <c r="H186" s="158">
        <f>SUM(H183:H185)</f>
        <v>0</v>
      </c>
      <c r="I186" s="158"/>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c r="CO186" s="244"/>
      <c r="CP186" s="244"/>
      <c r="CQ186" s="244"/>
      <c r="CR186" s="244"/>
      <c r="CS186" s="244"/>
      <c r="CT186" s="244"/>
      <c r="CU186" s="244"/>
      <c r="CV186" s="244"/>
      <c r="CW186" s="244"/>
      <c r="CX186" s="244"/>
      <c r="CY186" s="244"/>
      <c r="CZ186" s="244"/>
      <c r="DA186" s="244"/>
      <c r="DB186" s="244"/>
      <c r="DC186" s="244"/>
      <c r="DD186" s="244"/>
      <c r="DE186" s="244"/>
      <c r="DF186" s="244"/>
      <c r="DG186" s="244"/>
      <c r="DH186" s="244"/>
      <c r="DI186" s="244"/>
      <c r="DJ186" s="244"/>
    </row>
    <row r="187" spans="1:114" s="245" customFormat="1" ht="39.75" customHeight="1">
      <c r="A187" s="366" t="s">
        <v>62</v>
      </c>
      <c r="B187" s="402">
        <v>3400</v>
      </c>
      <c r="C187" s="332" t="s">
        <v>440</v>
      </c>
      <c r="D187" s="333">
        <v>2160.6</v>
      </c>
      <c r="E187" s="313" t="s">
        <v>439</v>
      </c>
      <c r="F187" s="337"/>
      <c r="G187" s="330"/>
      <c r="H187" s="158"/>
      <c r="I187" s="158"/>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c r="CO187" s="244"/>
      <c r="CP187" s="244"/>
      <c r="CQ187" s="244"/>
      <c r="CR187" s="244"/>
      <c r="CS187" s="244"/>
      <c r="CT187" s="244"/>
      <c r="CU187" s="244"/>
      <c r="CV187" s="244"/>
      <c r="CW187" s="244"/>
      <c r="CX187" s="244"/>
      <c r="CY187" s="244"/>
      <c r="CZ187" s="244"/>
      <c r="DA187" s="244"/>
      <c r="DB187" s="244"/>
      <c r="DC187" s="244"/>
      <c r="DD187" s="244"/>
      <c r="DE187" s="244"/>
      <c r="DF187" s="244"/>
      <c r="DG187" s="244"/>
      <c r="DH187" s="244"/>
      <c r="DI187" s="244"/>
      <c r="DJ187" s="244"/>
    </row>
    <row r="188" spans="1:114" s="245" customFormat="1" ht="29.25" customHeight="1">
      <c r="A188" s="372"/>
      <c r="B188" s="403"/>
      <c r="C188" s="339" t="s">
        <v>475</v>
      </c>
      <c r="D188" s="317">
        <f>27392.99+5046.47+13328.36+11595.74</f>
        <v>57363.560000000005</v>
      </c>
      <c r="E188" s="333" t="s">
        <v>447</v>
      </c>
      <c r="F188" s="337"/>
      <c r="G188" s="330"/>
      <c r="H188" s="158"/>
      <c r="I188" s="158"/>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c r="CO188" s="244"/>
      <c r="CP188" s="244"/>
      <c r="CQ188" s="244"/>
      <c r="CR188" s="244"/>
      <c r="CS188" s="244"/>
      <c r="CT188" s="244"/>
      <c r="CU188" s="244"/>
      <c r="CV188" s="244"/>
      <c r="CW188" s="244"/>
      <c r="CX188" s="244"/>
      <c r="CY188" s="244"/>
      <c r="CZ188" s="244"/>
      <c r="DA188" s="244"/>
      <c r="DB188" s="244"/>
      <c r="DC188" s="244"/>
      <c r="DD188" s="244"/>
      <c r="DE188" s="244"/>
      <c r="DF188" s="244"/>
      <c r="DG188" s="244"/>
      <c r="DH188" s="244"/>
      <c r="DI188" s="244"/>
      <c r="DJ188" s="244"/>
    </row>
    <row r="189" spans="1:114" s="245" customFormat="1" ht="39.75" customHeight="1">
      <c r="A189" s="372"/>
      <c r="B189" s="403"/>
      <c r="C189" s="348" t="s">
        <v>483</v>
      </c>
      <c r="D189" s="345">
        <v>3629.28</v>
      </c>
      <c r="E189" s="347" t="s">
        <v>341</v>
      </c>
      <c r="F189" s="393"/>
      <c r="G189" s="376"/>
      <c r="H189" s="259"/>
      <c r="I189" s="207"/>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c r="DE189" s="244"/>
      <c r="DF189" s="244"/>
      <c r="DG189" s="244"/>
      <c r="DH189" s="244"/>
      <c r="DI189" s="244"/>
      <c r="DJ189" s="244"/>
    </row>
    <row r="190" spans="1:114" s="245" customFormat="1" ht="22.5" customHeight="1">
      <c r="A190" s="372"/>
      <c r="B190" s="403"/>
      <c r="C190" s="348" t="s">
        <v>433</v>
      </c>
      <c r="D190" s="345">
        <v>1543696</v>
      </c>
      <c r="E190" s="344" t="s">
        <v>432</v>
      </c>
      <c r="F190" s="394"/>
      <c r="G190" s="386"/>
      <c r="H190" s="259"/>
      <c r="I190" s="207"/>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c r="CO190" s="244"/>
      <c r="CP190" s="244"/>
      <c r="CQ190" s="244"/>
      <c r="CR190" s="244"/>
      <c r="CS190" s="244"/>
      <c r="CT190" s="244"/>
      <c r="CU190" s="244"/>
      <c r="CV190" s="244"/>
      <c r="CW190" s="244"/>
      <c r="CX190" s="244"/>
      <c r="CY190" s="244"/>
      <c r="CZ190" s="244"/>
      <c r="DA190" s="244"/>
      <c r="DB190" s="244"/>
      <c r="DC190" s="244"/>
      <c r="DD190" s="244"/>
      <c r="DE190" s="244"/>
      <c r="DF190" s="244"/>
      <c r="DG190" s="244"/>
      <c r="DH190" s="244"/>
      <c r="DI190" s="244"/>
      <c r="DJ190" s="244"/>
    </row>
    <row r="191" spans="1:114" s="245" customFormat="1" ht="22.5" customHeight="1">
      <c r="A191" s="372"/>
      <c r="B191" s="403"/>
      <c r="C191" s="338" t="s">
        <v>486</v>
      </c>
      <c r="D191" s="333">
        <v>673.99</v>
      </c>
      <c r="E191" s="313" t="s">
        <v>484</v>
      </c>
      <c r="F191" s="394"/>
      <c r="G191" s="386"/>
      <c r="H191" s="259"/>
      <c r="I191" s="207"/>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c r="CO191" s="244"/>
      <c r="CP191" s="244"/>
      <c r="CQ191" s="244"/>
      <c r="CR191" s="244"/>
      <c r="CS191" s="244"/>
      <c r="CT191" s="244"/>
      <c r="CU191" s="244"/>
      <c r="CV191" s="244"/>
      <c r="CW191" s="244"/>
      <c r="CX191" s="244"/>
      <c r="CY191" s="244"/>
      <c r="CZ191" s="244"/>
      <c r="DA191" s="244"/>
      <c r="DB191" s="244"/>
      <c r="DC191" s="244"/>
      <c r="DD191" s="244"/>
      <c r="DE191" s="244"/>
      <c r="DF191" s="244"/>
      <c r="DG191" s="244"/>
      <c r="DH191" s="244"/>
      <c r="DI191" s="244"/>
      <c r="DJ191" s="244"/>
    </row>
    <row r="192" spans="1:114" s="245" customFormat="1" ht="32.25" customHeight="1">
      <c r="A192" s="372"/>
      <c r="B192" s="403"/>
      <c r="C192" s="340" t="s">
        <v>463</v>
      </c>
      <c r="D192" s="342">
        <v>8480</v>
      </c>
      <c r="E192" s="344" t="s">
        <v>449</v>
      </c>
      <c r="F192" s="394"/>
      <c r="G192" s="386"/>
      <c r="H192" s="259"/>
      <c r="I192" s="207"/>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row>
    <row r="193" spans="1:114" s="245" customFormat="1" ht="96.75" customHeight="1">
      <c r="A193" s="367"/>
      <c r="B193" s="404"/>
      <c r="C193" s="338" t="s">
        <v>465</v>
      </c>
      <c r="D193" s="333">
        <f>12570+1639.2+34000+62000+8232+12600</f>
        <v>131041.2</v>
      </c>
      <c r="E193" s="317" t="s">
        <v>424</v>
      </c>
      <c r="F193" s="395"/>
      <c r="G193" s="377"/>
      <c r="H193" s="158"/>
      <c r="I193" s="158"/>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c r="CO193" s="244"/>
      <c r="CP193" s="244"/>
      <c r="CQ193" s="244"/>
      <c r="CR193" s="244"/>
      <c r="CS193" s="244"/>
      <c r="CT193" s="244"/>
      <c r="CU193" s="244"/>
      <c r="CV193" s="244"/>
      <c r="CW193" s="244"/>
      <c r="CX193" s="244"/>
      <c r="CY193" s="244"/>
      <c r="CZ193" s="244"/>
      <c r="DA193" s="244"/>
      <c r="DB193" s="244"/>
      <c r="DC193" s="244"/>
      <c r="DD193" s="244"/>
      <c r="DE193" s="244"/>
      <c r="DF193" s="244"/>
      <c r="DG193" s="244"/>
      <c r="DH193" s="244"/>
      <c r="DI193" s="244"/>
      <c r="DJ193" s="244"/>
    </row>
    <row r="194" spans="1:114" s="245" customFormat="1" ht="21" customHeight="1">
      <c r="A194" s="229" t="s">
        <v>20</v>
      </c>
      <c r="B194" s="220">
        <f>SUM(B187)</f>
        <v>3400</v>
      </c>
      <c r="C194" s="146"/>
      <c r="D194" s="221">
        <f>SUM(D187:D193)</f>
        <v>1747044.63</v>
      </c>
      <c r="E194" s="311"/>
      <c r="F194" s="159">
        <f>F189</f>
        <v>0</v>
      </c>
      <c r="G194" s="240"/>
      <c r="H194" s="158">
        <f>SUM(H189:H193)</f>
        <v>0</v>
      </c>
      <c r="I194" s="158"/>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c r="DE194" s="244"/>
      <c r="DF194" s="244"/>
      <c r="DG194" s="244"/>
      <c r="DH194" s="244"/>
      <c r="DI194" s="244"/>
      <c r="DJ194" s="244"/>
    </row>
    <row r="195" spans="1:114" s="245" customFormat="1" ht="27.75" customHeight="1">
      <c r="A195" s="366" t="s">
        <v>46</v>
      </c>
      <c r="B195" s="402"/>
      <c r="C195" s="215" t="s">
        <v>388</v>
      </c>
      <c r="D195" s="261">
        <v>783</v>
      </c>
      <c r="E195" s="280" t="s">
        <v>390</v>
      </c>
      <c r="F195" s="393"/>
      <c r="G195" s="376"/>
      <c r="H195" s="259"/>
      <c r="I195" s="207"/>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c r="CO195" s="244"/>
      <c r="CP195" s="244"/>
      <c r="CQ195" s="244"/>
      <c r="CR195" s="244"/>
      <c r="CS195" s="244"/>
      <c r="CT195" s="244"/>
      <c r="CU195" s="244"/>
      <c r="CV195" s="244"/>
      <c r="CW195" s="244"/>
      <c r="CX195" s="244"/>
      <c r="CY195" s="244"/>
      <c r="CZ195" s="244"/>
      <c r="DA195" s="244"/>
      <c r="DB195" s="244"/>
      <c r="DC195" s="244"/>
      <c r="DD195" s="244"/>
      <c r="DE195" s="244"/>
      <c r="DF195" s="244"/>
      <c r="DG195" s="244"/>
      <c r="DH195" s="244"/>
      <c r="DI195" s="244"/>
      <c r="DJ195" s="244"/>
    </row>
    <row r="196" spans="1:114" s="245" customFormat="1" ht="18" customHeight="1">
      <c r="A196" s="367"/>
      <c r="B196" s="404"/>
      <c r="C196" s="302" t="s">
        <v>471</v>
      </c>
      <c r="D196" s="261">
        <f>8404.2+17518.43</f>
        <v>25922.63</v>
      </c>
      <c r="E196" s="333" t="s">
        <v>447</v>
      </c>
      <c r="F196" s="395"/>
      <c r="G196" s="377"/>
      <c r="H196" s="158"/>
      <c r="I196" s="158"/>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c r="CO196" s="244"/>
      <c r="CP196" s="244"/>
      <c r="CQ196" s="244"/>
      <c r="CR196" s="244"/>
      <c r="CS196" s="244"/>
      <c r="CT196" s="244"/>
      <c r="CU196" s="244"/>
      <c r="CV196" s="244"/>
      <c r="CW196" s="244"/>
      <c r="CX196" s="244"/>
      <c r="CY196" s="244"/>
      <c r="CZ196" s="244"/>
      <c r="DA196" s="244"/>
      <c r="DB196" s="244"/>
      <c r="DC196" s="244"/>
      <c r="DD196" s="244"/>
      <c r="DE196" s="244"/>
      <c r="DF196" s="244"/>
      <c r="DG196" s="244"/>
      <c r="DH196" s="244"/>
      <c r="DI196" s="244"/>
      <c r="DJ196" s="244"/>
    </row>
    <row r="197" spans="1:114" s="245" customFormat="1" ht="18.75" customHeight="1">
      <c r="A197" s="229" t="s">
        <v>20</v>
      </c>
      <c r="B197" s="220">
        <f>B195</f>
        <v>0</v>
      </c>
      <c r="C197" s="146"/>
      <c r="D197" s="221">
        <f>SUM(D195:D196)</f>
        <v>26705.63</v>
      </c>
      <c r="E197" s="220"/>
      <c r="F197" s="159">
        <f>F195</f>
        <v>0</v>
      </c>
      <c r="G197" s="240"/>
      <c r="H197" s="158">
        <f>SUM(H195:H196)</f>
        <v>0</v>
      </c>
      <c r="I197" s="158"/>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c r="CO197" s="244"/>
      <c r="CP197" s="244"/>
      <c r="CQ197" s="244"/>
      <c r="CR197" s="244"/>
      <c r="CS197" s="244"/>
      <c r="CT197" s="244"/>
      <c r="CU197" s="244"/>
      <c r="CV197" s="244"/>
      <c r="CW197" s="244"/>
      <c r="CX197" s="244"/>
      <c r="CY197" s="244"/>
      <c r="CZ197" s="244"/>
      <c r="DA197" s="244"/>
      <c r="DB197" s="244"/>
      <c r="DC197" s="244"/>
      <c r="DD197" s="244"/>
      <c r="DE197" s="244"/>
      <c r="DF197" s="244"/>
      <c r="DG197" s="244"/>
      <c r="DH197" s="244"/>
      <c r="DI197" s="244"/>
      <c r="DJ197" s="244"/>
    </row>
    <row r="198" spans="1:114" s="245" customFormat="1" ht="48" customHeight="1">
      <c r="A198" s="366" t="s">
        <v>63</v>
      </c>
      <c r="B198" s="402">
        <f>6799+2490</f>
        <v>9289</v>
      </c>
      <c r="C198" s="215" t="s">
        <v>401</v>
      </c>
      <c r="D198" s="261">
        <v>1</v>
      </c>
      <c r="E198" s="310" t="s">
        <v>332</v>
      </c>
      <c r="F198" s="393"/>
      <c r="G198" s="376"/>
      <c r="H198" s="158"/>
      <c r="I198" s="158"/>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c r="DE198" s="244"/>
      <c r="DF198" s="244"/>
      <c r="DG198" s="244"/>
      <c r="DH198" s="244"/>
      <c r="DI198" s="244"/>
      <c r="DJ198" s="244"/>
    </row>
    <row r="199" spans="1:114" s="245" customFormat="1" ht="23.25" customHeight="1">
      <c r="A199" s="372"/>
      <c r="B199" s="403"/>
      <c r="C199" s="339" t="s">
        <v>479</v>
      </c>
      <c r="D199" s="317">
        <f>5046.47+11595.74+4305.2</f>
        <v>20947.41</v>
      </c>
      <c r="E199" s="333" t="s">
        <v>447</v>
      </c>
      <c r="F199" s="394"/>
      <c r="G199" s="386"/>
      <c r="H199" s="158"/>
      <c r="I199" s="158"/>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c r="CO199" s="244"/>
      <c r="CP199" s="244"/>
      <c r="CQ199" s="244"/>
      <c r="CR199" s="244"/>
      <c r="CS199" s="244"/>
      <c r="CT199" s="244"/>
      <c r="CU199" s="244"/>
      <c r="CV199" s="244"/>
      <c r="CW199" s="244"/>
      <c r="CX199" s="244"/>
      <c r="CY199" s="244"/>
      <c r="CZ199" s="244"/>
      <c r="DA199" s="244"/>
      <c r="DB199" s="244"/>
      <c r="DC199" s="244"/>
      <c r="DD199" s="244"/>
      <c r="DE199" s="244"/>
      <c r="DF199" s="244"/>
      <c r="DG199" s="244"/>
      <c r="DH199" s="244"/>
      <c r="DI199" s="244"/>
      <c r="DJ199" s="244"/>
    </row>
    <row r="200" spans="1:114" s="245" customFormat="1" ht="27" customHeight="1">
      <c r="A200" s="372"/>
      <c r="B200" s="403"/>
      <c r="C200" s="340" t="s">
        <v>462</v>
      </c>
      <c r="D200" s="317">
        <v>8100</v>
      </c>
      <c r="E200" s="333" t="s">
        <v>449</v>
      </c>
      <c r="F200" s="394"/>
      <c r="G200" s="386"/>
      <c r="H200" s="158"/>
      <c r="I200" s="158"/>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c r="CO200" s="244"/>
      <c r="CP200" s="244"/>
      <c r="CQ200" s="244"/>
      <c r="CR200" s="244"/>
      <c r="CS200" s="244"/>
      <c r="CT200" s="244"/>
      <c r="CU200" s="244"/>
      <c r="CV200" s="244"/>
      <c r="CW200" s="244"/>
      <c r="CX200" s="244"/>
      <c r="CY200" s="244"/>
      <c r="CZ200" s="244"/>
      <c r="DA200" s="244"/>
      <c r="DB200" s="244"/>
      <c r="DC200" s="244"/>
      <c r="DD200" s="244"/>
      <c r="DE200" s="244"/>
      <c r="DF200" s="244"/>
      <c r="DG200" s="244"/>
      <c r="DH200" s="244"/>
      <c r="DI200" s="244"/>
      <c r="DJ200" s="244"/>
    </row>
    <row r="201" spans="1:114" s="245" customFormat="1" ht="31.5" customHeight="1">
      <c r="A201" s="367"/>
      <c r="B201" s="404"/>
      <c r="C201" s="215"/>
      <c r="D201" s="286">
        <v>783</v>
      </c>
      <c r="E201" s="280" t="s">
        <v>390</v>
      </c>
      <c r="F201" s="395"/>
      <c r="G201" s="377"/>
      <c r="H201" s="261"/>
      <c r="I201" s="301"/>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c r="CO201" s="244"/>
      <c r="CP201" s="244"/>
      <c r="CQ201" s="244"/>
      <c r="CR201" s="244"/>
      <c r="CS201" s="244"/>
      <c r="CT201" s="244"/>
      <c r="CU201" s="244"/>
      <c r="CV201" s="244"/>
      <c r="CW201" s="244"/>
      <c r="CX201" s="244"/>
      <c r="CY201" s="244"/>
      <c r="CZ201" s="244"/>
      <c r="DA201" s="244"/>
      <c r="DB201" s="244"/>
      <c r="DC201" s="244"/>
      <c r="DD201" s="244"/>
      <c r="DE201" s="244"/>
      <c r="DF201" s="244"/>
      <c r="DG201" s="244"/>
      <c r="DH201" s="244"/>
      <c r="DI201" s="244"/>
      <c r="DJ201" s="244"/>
    </row>
    <row r="202" spans="1:114" s="245" customFormat="1" ht="23.25" customHeight="1">
      <c r="A202" s="229" t="s">
        <v>20</v>
      </c>
      <c r="B202" s="220">
        <f>B198</f>
        <v>9289</v>
      </c>
      <c r="C202" s="146"/>
      <c r="D202" s="221">
        <f>SUM(D198:D201)</f>
        <v>29831.41</v>
      </c>
      <c r="E202" s="311"/>
      <c r="F202" s="159">
        <f>F198</f>
        <v>0</v>
      </c>
      <c r="G202" s="240"/>
      <c r="H202" s="158">
        <f>SUM(H198:H201)</f>
        <v>0</v>
      </c>
      <c r="I202" s="158"/>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row>
    <row r="203" spans="1:114" s="245" customFormat="1" ht="38.25" customHeight="1">
      <c r="A203" s="376" t="s">
        <v>402</v>
      </c>
      <c r="B203" s="378"/>
      <c r="C203" s="219" t="s">
        <v>443</v>
      </c>
      <c r="D203" s="262">
        <v>107774.21</v>
      </c>
      <c r="E203" s="336" t="s">
        <v>439</v>
      </c>
      <c r="F203" s="159"/>
      <c r="G203" s="240"/>
      <c r="H203" s="158"/>
      <c r="I203" s="158"/>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c r="CO203" s="244"/>
      <c r="CP203" s="244"/>
      <c r="CQ203" s="244"/>
      <c r="CR203" s="244"/>
      <c r="CS203" s="244"/>
      <c r="CT203" s="244"/>
      <c r="CU203" s="244"/>
      <c r="CV203" s="244"/>
      <c r="CW203" s="244"/>
      <c r="CX203" s="244"/>
      <c r="CY203" s="244"/>
      <c r="CZ203" s="244"/>
      <c r="DA203" s="244"/>
      <c r="DB203" s="244"/>
      <c r="DC203" s="244"/>
      <c r="DD203" s="244"/>
      <c r="DE203" s="244"/>
      <c r="DF203" s="244"/>
      <c r="DG203" s="244"/>
      <c r="DH203" s="244"/>
      <c r="DI203" s="244"/>
      <c r="DJ203" s="244"/>
    </row>
    <row r="204" spans="1:114" s="245" customFormat="1" ht="29.25" customHeight="1">
      <c r="A204" s="386"/>
      <c r="B204" s="407"/>
      <c r="C204" s="219" t="s">
        <v>414</v>
      </c>
      <c r="D204" s="262">
        <v>1147116.6</v>
      </c>
      <c r="E204" s="311" t="s">
        <v>413</v>
      </c>
      <c r="F204" s="159"/>
      <c r="G204" s="240"/>
      <c r="H204" s="158"/>
      <c r="I204" s="158"/>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row>
    <row r="205" spans="1:114" s="245" customFormat="1" ht="54" customHeight="1">
      <c r="A205" s="377"/>
      <c r="B205" s="379"/>
      <c r="C205" s="219" t="s">
        <v>415</v>
      </c>
      <c r="D205" s="262">
        <v>214000</v>
      </c>
      <c r="E205" s="261" t="s">
        <v>403</v>
      </c>
      <c r="F205" s="162"/>
      <c r="G205" s="240"/>
      <c r="H205" s="152"/>
      <c r="I205" s="207"/>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c r="CO205" s="244"/>
      <c r="CP205" s="244"/>
      <c r="CQ205" s="244"/>
      <c r="CR205" s="244"/>
      <c r="CS205" s="244"/>
      <c r="CT205" s="244"/>
      <c r="CU205" s="244"/>
      <c r="CV205" s="244"/>
      <c r="CW205" s="244"/>
      <c r="CX205" s="244"/>
      <c r="CY205" s="244"/>
      <c r="CZ205" s="244"/>
      <c r="DA205" s="244"/>
      <c r="DB205" s="244"/>
      <c r="DC205" s="244"/>
      <c r="DD205" s="244"/>
      <c r="DE205" s="244"/>
      <c r="DF205" s="244"/>
      <c r="DG205" s="244"/>
      <c r="DH205" s="244"/>
      <c r="DI205" s="244"/>
      <c r="DJ205" s="244"/>
    </row>
    <row r="206" spans="1:114" s="245" customFormat="1" ht="23.25" customHeight="1">
      <c r="A206" s="229" t="s">
        <v>20</v>
      </c>
      <c r="B206" s="220">
        <v>0</v>
      </c>
      <c r="C206" s="146"/>
      <c r="D206" s="221">
        <f>SUM(D203:D205)</f>
        <v>1468890.81</v>
      </c>
      <c r="E206" s="220"/>
      <c r="F206" s="159">
        <v>0</v>
      </c>
      <c r="G206" s="240"/>
      <c r="H206" s="250">
        <f>SUM(H205)</f>
        <v>0</v>
      </c>
      <c r="I206" s="158"/>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row>
    <row r="207" spans="1:114" s="245" customFormat="1" ht="31.5" customHeight="1">
      <c r="A207" s="366" t="s">
        <v>272</v>
      </c>
      <c r="B207" s="402"/>
      <c r="C207" s="215" t="s">
        <v>388</v>
      </c>
      <c r="D207" s="286">
        <v>783</v>
      </c>
      <c r="E207" s="214" t="s">
        <v>390</v>
      </c>
      <c r="F207" s="156"/>
      <c r="G207" s="240"/>
      <c r="H207" s="259"/>
      <c r="I207" s="207"/>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row>
    <row r="208" spans="1:114" s="245" customFormat="1" ht="31.5" customHeight="1">
      <c r="A208" s="372"/>
      <c r="B208" s="403"/>
      <c r="C208" s="215" t="s">
        <v>470</v>
      </c>
      <c r="D208" s="286">
        <v>15831.56</v>
      </c>
      <c r="E208" s="333" t="s">
        <v>447</v>
      </c>
      <c r="F208" s="156"/>
      <c r="G208" s="240"/>
      <c r="H208" s="259"/>
      <c r="I208" s="207"/>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row>
    <row r="209" spans="1:114" s="245" customFormat="1" ht="56.25" customHeight="1">
      <c r="A209" s="367"/>
      <c r="B209" s="404"/>
      <c r="C209" s="338" t="s">
        <v>446</v>
      </c>
      <c r="D209" s="286">
        <v>29635</v>
      </c>
      <c r="E209" s="214" t="s">
        <v>445</v>
      </c>
      <c r="F209" s="156"/>
      <c r="G209" s="240"/>
      <c r="H209" s="259"/>
      <c r="I209" s="207"/>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row>
    <row r="210" spans="1:114" s="245" customFormat="1" ht="24.75" customHeight="1">
      <c r="A210" s="229" t="s">
        <v>20</v>
      </c>
      <c r="B210" s="220">
        <f>B207</f>
        <v>0</v>
      </c>
      <c r="C210" s="146"/>
      <c r="D210" s="221">
        <f>SUM(D207:D209)</f>
        <v>46249.56</v>
      </c>
      <c r="E210" s="220"/>
      <c r="F210" s="159"/>
      <c r="G210" s="240"/>
      <c r="H210" s="158">
        <f>H207</f>
        <v>0</v>
      </c>
      <c r="I210" s="158"/>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c r="CO210" s="244"/>
      <c r="CP210" s="244"/>
      <c r="CQ210" s="244"/>
      <c r="CR210" s="244"/>
      <c r="CS210" s="244"/>
      <c r="CT210" s="244"/>
      <c r="CU210" s="244"/>
      <c r="CV210" s="244"/>
      <c r="CW210" s="244"/>
      <c r="CX210" s="244"/>
      <c r="CY210" s="244"/>
      <c r="CZ210" s="244"/>
      <c r="DA210" s="244"/>
      <c r="DB210" s="244"/>
      <c r="DC210" s="244"/>
      <c r="DD210" s="244"/>
      <c r="DE210" s="244"/>
      <c r="DF210" s="244"/>
      <c r="DG210" s="244"/>
      <c r="DH210" s="244"/>
      <c r="DI210" s="244"/>
      <c r="DJ210" s="244"/>
    </row>
    <row r="211" spans="1:114" s="245" customFormat="1" ht="24.75" customHeight="1">
      <c r="A211" s="366" t="s">
        <v>54</v>
      </c>
      <c r="B211" s="378"/>
      <c r="C211" s="219" t="s">
        <v>43</v>
      </c>
      <c r="D211" s="262">
        <v>2342.93</v>
      </c>
      <c r="E211" s="333" t="s">
        <v>447</v>
      </c>
      <c r="F211" s="159"/>
      <c r="G211" s="240"/>
      <c r="H211" s="158"/>
      <c r="I211" s="158"/>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c r="CO211" s="244"/>
      <c r="CP211" s="244"/>
      <c r="CQ211" s="244"/>
      <c r="CR211" s="244"/>
      <c r="CS211" s="244"/>
      <c r="CT211" s="244"/>
      <c r="CU211" s="244"/>
      <c r="CV211" s="244"/>
      <c r="CW211" s="244"/>
      <c r="CX211" s="244"/>
      <c r="CY211" s="244"/>
      <c r="CZ211" s="244"/>
      <c r="DA211" s="244"/>
      <c r="DB211" s="244"/>
      <c r="DC211" s="244"/>
      <c r="DD211" s="244"/>
      <c r="DE211" s="244"/>
      <c r="DF211" s="244"/>
      <c r="DG211" s="244"/>
      <c r="DH211" s="244"/>
      <c r="DI211" s="244"/>
      <c r="DJ211" s="244"/>
    </row>
    <row r="212" spans="1:114" s="245" customFormat="1" ht="46.5" customHeight="1">
      <c r="A212" s="367"/>
      <c r="B212" s="379"/>
      <c r="C212" s="215" t="s">
        <v>331</v>
      </c>
      <c r="D212" s="286">
        <v>1</v>
      </c>
      <c r="E212" s="214" t="s">
        <v>332</v>
      </c>
      <c r="F212" s="156"/>
      <c r="G212" s="240"/>
      <c r="H212" s="259"/>
      <c r="I212" s="207"/>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c r="CO212" s="244"/>
      <c r="CP212" s="244"/>
      <c r="CQ212" s="244"/>
      <c r="CR212" s="244"/>
      <c r="CS212" s="244"/>
      <c r="CT212" s="244"/>
      <c r="CU212" s="244"/>
      <c r="CV212" s="244"/>
      <c r="CW212" s="244"/>
      <c r="CX212" s="244"/>
      <c r="CY212" s="244"/>
      <c r="CZ212" s="244"/>
      <c r="DA212" s="244"/>
      <c r="DB212" s="244"/>
      <c r="DC212" s="244"/>
      <c r="DD212" s="244"/>
      <c r="DE212" s="244"/>
      <c r="DF212" s="244"/>
      <c r="DG212" s="244"/>
      <c r="DH212" s="244"/>
      <c r="DI212" s="244"/>
      <c r="DJ212" s="244"/>
    </row>
    <row r="213" spans="1:114" s="245" customFormat="1" ht="20.25" customHeight="1">
      <c r="A213" s="229" t="s">
        <v>20</v>
      </c>
      <c r="B213" s="220">
        <f>B212</f>
        <v>0</v>
      </c>
      <c r="C213" s="146"/>
      <c r="D213" s="221">
        <f>SUM(D211:D212)</f>
        <v>2343.93</v>
      </c>
      <c r="E213" s="220"/>
      <c r="F213" s="159"/>
      <c r="G213" s="240"/>
      <c r="H213" s="158">
        <f>H212</f>
        <v>0</v>
      </c>
      <c r="I213" s="158"/>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c r="CO213" s="244"/>
      <c r="CP213" s="244"/>
      <c r="CQ213" s="244"/>
      <c r="CR213" s="244"/>
      <c r="CS213" s="244"/>
      <c r="CT213" s="244"/>
      <c r="CU213" s="244"/>
      <c r="CV213" s="244"/>
      <c r="CW213" s="244"/>
      <c r="CX213" s="244"/>
      <c r="CY213" s="244"/>
      <c r="CZ213" s="244"/>
      <c r="DA213" s="244"/>
      <c r="DB213" s="244"/>
      <c r="DC213" s="244"/>
      <c r="DD213" s="244"/>
      <c r="DE213" s="244"/>
      <c r="DF213" s="244"/>
      <c r="DG213" s="244"/>
      <c r="DH213" s="244"/>
      <c r="DI213" s="244"/>
      <c r="DJ213" s="244"/>
    </row>
    <row r="214" spans="1:114" s="245" customFormat="1" ht="20.25" customHeight="1">
      <c r="A214" s="366" t="s">
        <v>66</v>
      </c>
      <c r="B214" s="378"/>
      <c r="C214" s="219" t="s">
        <v>469</v>
      </c>
      <c r="D214" s="262">
        <v>1721.64</v>
      </c>
      <c r="E214" s="333" t="s">
        <v>447</v>
      </c>
      <c r="F214" s="159"/>
      <c r="G214" s="240"/>
      <c r="H214" s="158"/>
      <c r="I214" s="158"/>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c r="CO214" s="244"/>
      <c r="CP214" s="244"/>
      <c r="CQ214" s="244"/>
      <c r="CR214" s="244"/>
      <c r="CS214" s="244"/>
      <c r="CT214" s="244"/>
      <c r="CU214" s="244"/>
      <c r="CV214" s="244"/>
      <c r="CW214" s="244"/>
      <c r="CX214" s="244"/>
      <c r="CY214" s="244"/>
      <c r="CZ214" s="244"/>
      <c r="DA214" s="244"/>
      <c r="DB214" s="244"/>
      <c r="DC214" s="244"/>
      <c r="DD214" s="244"/>
      <c r="DE214" s="244"/>
      <c r="DF214" s="244"/>
      <c r="DG214" s="244"/>
      <c r="DH214" s="244"/>
      <c r="DI214" s="244"/>
      <c r="DJ214" s="244"/>
    </row>
    <row r="215" spans="1:114" s="245" customFormat="1" ht="30.75" customHeight="1">
      <c r="A215" s="367"/>
      <c r="B215" s="379"/>
      <c r="C215" s="215" t="s">
        <v>468</v>
      </c>
      <c r="D215" s="287">
        <v>783</v>
      </c>
      <c r="E215" s="214" t="s">
        <v>374</v>
      </c>
      <c r="F215" s="156"/>
      <c r="G215" s="240"/>
      <c r="H215" s="259"/>
      <c r="I215" s="207"/>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c r="CO215" s="244"/>
      <c r="CP215" s="244"/>
      <c r="CQ215" s="244"/>
      <c r="CR215" s="244"/>
      <c r="CS215" s="244"/>
      <c r="CT215" s="244"/>
      <c r="CU215" s="244"/>
      <c r="CV215" s="244"/>
      <c r="CW215" s="244"/>
      <c r="CX215" s="244"/>
      <c r="CY215" s="244"/>
      <c r="CZ215" s="244"/>
      <c r="DA215" s="244"/>
      <c r="DB215" s="244"/>
      <c r="DC215" s="244"/>
      <c r="DD215" s="244"/>
      <c r="DE215" s="244"/>
      <c r="DF215" s="244"/>
      <c r="DG215" s="244"/>
      <c r="DH215" s="244"/>
      <c r="DI215" s="244"/>
      <c r="DJ215" s="244"/>
    </row>
    <row r="216" spans="1:114" s="245" customFormat="1" ht="23.25" customHeight="1">
      <c r="A216" s="229" t="s">
        <v>20</v>
      </c>
      <c r="B216" s="220">
        <f>B215</f>
        <v>0</v>
      </c>
      <c r="C216" s="146"/>
      <c r="D216" s="221">
        <f>SUM(D214:D215)</f>
        <v>2504.6400000000003</v>
      </c>
      <c r="E216" s="220"/>
      <c r="F216" s="159"/>
      <c r="G216" s="240"/>
      <c r="H216" s="158">
        <f>H215</f>
        <v>0</v>
      </c>
      <c r="I216" s="158"/>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c r="CO216" s="244"/>
      <c r="CP216" s="244"/>
      <c r="CQ216" s="244"/>
      <c r="CR216" s="244"/>
      <c r="CS216" s="244"/>
      <c r="CT216" s="244"/>
      <c r="CU216" s="244"/>
      <c r="CV216" s="244"/>
      <c r="CW216" s="244"/>
      <c r="CX216" s="244"/>
      <c r="CY216" s="244"/>
      <c r="CZ216" s="244"/>
      <c r="DA216" s="244"/>
      <c r="DB216" s="244"/>
      <c r="DC216" s="244"/>
      <c r="DD216" s="244"/>
      <c r="DE216" s="244"/>
      <c r="DF216" s="244"/>
      <c r="DG216" s="244"/>
      <c r="DH216" s="244"/>
      <c r="DI216" s="244"/>
      <c r="DJ216" s="244"/>
    </row>
    <row r="217" spans="1:114" s="245" customFormat="1" ht="23.25" customHeight="1">
      <c r="A217" s="376" t="s">
        <v>319</v>
      </c>
      <c r="B217" s="378"/>
      <c r="C217" s="219" t="s">
        <v>43</v>
      </c>
      <c r="D217" s="262">
        <v>4556.03</v>
      </c>
      <c r="E217" s="333" t="s">
        <v>447</v>
      </c>
      <c r="F217" s="159"/>
      <c r="G217" s="240"/>
      <c r="H217" s="158"/>
      <c r="I217" s="158"/>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c r="CO217" s="244"/>
      <c r="CP217" s="244"/>
      <c r="CQ217" s="244"/>
      <c r="CR217" s="244"/>
      <c r="CS217" s="244"/>
      <c r="CT217" s="244"/>
      <c r="CU217" s="244"/>
      <c r="CV217" s="244"/>
      <c r="CW217" s="244"/>
      <c r="CX217" s="244"/>
      <c r="CY217" s="244"/>
      <c r="CZ217" s="244"/>
      <c r="DA217" s="244"/>
      <c r="DB217" s="244"/>
      <c r="DC217" s="244"/>
      <c r="DD217" s="244"/>
      <c r="DE217" s="244"/>
      <c r="DF217" s="244"/>
      <c r="DG217" s="244"/>
      <c r="DH217" s="244"/>
      <c r="DI217" s="244"/>
      <c r="DJ217" s="244"/>
    </row>
    <row r="218" spans="1:114" s="245" customFormat="1" ht="36" customHeight="1">
      <c r="A218" s="377"/>
      <c r="B218" s="379"/>
      <c r="C218" s="146"/>
      <c r="D218" s="286">
        <v>783</v>
      </c>
      <c r="E218" s="214" t="s">
        <v>374</v>
      </c>
      <c r="F218" s="159"/>
      <c r="G218" s="240"/>
      <c r="H218" s="259"/>
      <c r="I218" s="207"/>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c r="CX218" s="244"/>
      <c r="CY218" s="244"/>
      <c r="CZ218" s="244"/>
      <c r="DA218" s="244"/>
      <c r="DB218" s="244"/>
      <c r="DC218" s="244"/>
      <c r="DD218" s="244"/>
      <c r="DE218" s="244"/>
      <c r="DF218" s="244"/>
      <c r="DG218" s="244"/>
      <c r="DH218" s="244"/>
      <c r="DI218" s="244"/>
      <c r="DJ218" s="244"/>
    </row>
    <row r="219" spans="1:114" s="245" customFormat="1" ht="29.25" customHeight="1">
      <c r="A219" s="229" t="s">
        <v>20</v>
      </c>
      <c r="B219" s="220">
        <f>B218</f>
        <v>0</v>
      </c>
      <c r="C219" s="146"/>
      <c r="D219" s="221">
        <f>SUM(D217:D218)</f>
        <v>5339.03</v>
      </c>
      <c r="E219" s="220"/>
      <c r="F219" s="159"/>
      <c r="G219" s="240"/>
      <c r="H219" s="158">
        <f>H218</f>
        <v>0</v>
      </c>
      <c r="I219" s="158"/>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c r="CO219" s="244"/>
      <c r="CP219" s="244"/>
      <c r="CQ219" s="244"/>
      <c r="CR219" s="244"/>
      <c r="CS219" s="244"/>
      <c r="CT219" s="244"/>
      <c r="CU219" s="244"/>
      <c r="CV219" s="244"/>
      <c r="CW219" s="244"/>
      <c r="CX219" s="244"/>
      <c r="CY219" s="244"/>
      <c r="CZ219" s="244"/>
      <c r="DA219" s="244"/>
      <c r="DB219" s="244"/>
      <c r="DC219" s="244"/>
      <c r="DD219" s="244"/>
      <c r="DE219" s="244"/>
      <c r="DF219" s="244"/>
      <c r="DG219" s="244"/>
      <c r="DH219" s="244"/>
      <c r="DI219" s="244"/>
      <c r="DJ219" s="244"/>
    </row>
    <row r="220" spans="1:114" s="245" customFormat="1" ht="84" customHeight="1">
      <c r="A220" s="157" t="s">
        <v>317</v>
      </c>
      <c r="B220" s="261"/>
      <c r="C220" s="215" t="s">
        <v>334</v>
      </c>
      <c r="D220" s="286">
        <v>1600</v>
      </c>
      <c r="E220" s="214" t="s">
        <v>333</v>
      </c>
      <c r="F220" s="156"/>
      <c r="G220" s="240"/>
      <c r="H220" s="259"/>
      <c r="I220" s="207"/>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row>
    <row r="221" spans="1:114" s="245" customFormat="1" ht="24.75" customHeight="1">
      <c r="A221" s="229" t="s">
        <v>20</v>
      </c>
      <c r="B221" s="220">
        <f>SUM(B220)</f>
        <v>0</v>
      </c>
      <c r="C221" s="146"/>
      <c r="D221" s="221">
        <f>D220</f>
        <v>1600</v>
      </c>
      <c r="E221" s="220"/>
      <c r="F221" s="159"/>
      <c r="G221" s="240"/>
      <c r="H221" s="158">
        <f>H220</f>
        <v>0</v>
      </c>
      <c r="I221" s="158"/>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c r="CO221" s="244"/>
      <c r="CP221" s="244"/>
      <c r="CQ221" s="244"/>
      <c r="CR221" s="244"/>
      <c r="CS221" s="244"/>
      <c r="CT221" s="244"/>
      <c r="CU221" s="244"/>
      <c r="CV221" s="244"/>
      <c r="CW221" s="244"/>
      <c r="CX221" s="244"/>
      <c r="CY221" s="244"/>
      <c r="CZ221" s="244"/>
      <c r="DA221" s="244"/>
      <c r="DB221" s="244"/>
      <c r="DC221" s="244"/>
      <c r="DD221" s="244"/>
      <c r="DE221" s="244"/>
      <c r="DF221" s="244"/>
      <c r="DG221" s="244"/>
      <c r="DH221" s="244"/>
      <c r="DI221" s="244"/>
      <c r="DJ221" s="244"/>
    </row>
    <row r="222" spans="1:114" s="245" customFormat="1" ht="27.75" customHeight="1">
      <c r="A222" s="157" t="s">
        <v>64</v>
      </c>
      <c r="B222" s="261">
        <v>2496</v>
      </c>
      <c r="C222" s="215" t="s">
        <v>342</v>
      </c>
      <c r="D222" s="287"/>
      <c r="E222" s="214"/>
      <c r="F222" s="156"/>
      <c r="G222" s="240"/>
      <c r="H222" s="259"/>
      <c r="I222" s="207"/>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c r="CF222" s="244"/>
      <c r="CG222" s="244"/>
      <c r="CH222" s="244"/>
      <c r="CI222" s="244"/>
      <c r="CJ222" s="244"/>
      <c r="CK222" s="244"/>
      <c r="CL222" s="244"/>
      <c r="CM222" s="244"/>
      <c r="CN222" s="244"/>
      <c r="CO222" s="244"/>
      <c r="CP222" s="244"/>
      <c r="CQ222" s="244"/>
      <c r="CR222" s="244"/>
      <c r="CS222" s="244"/>
      <c r="CT222" s="244"/>
      <c r="CU222" s="244"/>
      <c r="CV222" s="244"/>
      <c r="CW222" s="244"/>
      <c r="CX222" s="244"/>
      <c r="CY222" s="244"/>
      <c r="CZ222" s="244"/>
      <c r="DA222" s="244"/>
      <c r="DB222" s="244"/>
      <c r="DC222" s="244"/>
      <c r="DD222" s="244"/>
      <c r="DE222" s="244"/>
      <c r="DF222" s="244"/>
      <c r="DG222" s="244"/>
      <c r="DH222" s="244"/>
      <c r="DI222" s="244"/>
      <c r="DJ222" s="244"/>
    </row>
    <row r="223" spans="1:114" s="245" customFormat="1" ht="23.25" customHeight="1">
      <c r="A223" s="229" t="s">
        <v>20</v>
      </c>
      <c r="B223" s="220">
        <f>B222</f>
        <v>2496</v>
      </c>
      <c r="C223" s="146"/>
      <c r="D223" s="221">
        <f>D222</f>
        <v>0</v>
      </c>
      <c r="E223" s="220"/>
      <c r="F223" s="159"/>
      <c r="G223" s="240"/>
      <c r="H223" s="158">
        <f>H222</f>
        <v>0</v>
      </c>
      <c r="I223" s="158"/>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row>
    <row r="224" spans="1:114" s="245" customFormat="1" ht="24" customHeight="1">
      <c r="A224" s="366" t="s">
        <v>315</v>
      </c>
      <c r="B224" s="402"/>
      <c r="C224" s="361"/>
      <c r="D224" s="287"/>
      <c r="E224" s="214"/>
      <c r="F224" s="156"/>
      <c r="G224" s="240"/>
      <c r="H224" s="259"/>
      <c r="I224" s="207"/>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c r="CF224" s="244"/>
      <c r="CG224" s="244"/>
      <c r="CH224" s="244"/>
      <c r="CI224" s="244"/>
      <c r="CJ224" s="244"/>
      <c r="CK224" s="244"/>
      <c r="CL224" s="244"/>
      <c r="CM224" s="244"/>
      <c r="CN224" s="244"/>
      <c r="CO224" s="244"/>
      <c r="CP224" s="244"/>
      <c r="CQ224" s="244"/>
      <c r="CR224" s="244"/>
      <c r="CS224" s="244"/>
      <c r="CT224" s="244"/>
      <c r="CU224" s="244"/>
      <c r="CV224" s="244"/>
      <c r="CW224" s="244"/>
      <c r="CX224" s="244"/>
      <c r="CY224" s="244"/>
      <c r="CZ224" s="244"/>
      <c r="DA224" s="244"/>
      <c r="DB224" s="244"/>
      <c r="DC224" s="244"/>
      <c r="DD224" s="244"/>
      <c r="DE224" s="244"/>
      <c r="DF224" s="244"/>
      <c r="DG224" s="244"/>
      <c r="DH224" s="244"/>
      <c r="DI224" s="244"/>
      <c r="DJ224" s="244"/>
    </row>
    <row r="225" spans="1:114" s="245" customFormat="1" ht="19.5" customHeight="1">
      <c r="A225" s="372"/>
      <c r="B225" s="403"/>
      <c r="C225" s="375"/>
      <c r="D225" s="261"/>
      <c r="E225" s="276"/>
      <c r="F225" s="156"/>
      <c r="G225" s="240"/>
      <c r="H225" s="158"/>
      <c r="I225" s="158"/>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c r="CF225" s="244"/>
      <c r="CG225" s="244"/>
      <c r="CH225" s="244"/>
      <c r="CI225" s="244"/>
      <c r="CJ225" s="244"/>
      <c r="CK225" s="244"/>
      <c r="CL225" s="244"/>
      <c r="CM225" s="244"/>
      <c r="CN225" s="244"/>
      <c r="CO225" s="244"/>
      <c r="CP225" s="244"/>
      <c r="CQ225" s="244"/>
      <c r="CR225" s="244"/>
      <c r="CS225" s="244"/>
      <c r="CT225" s="244"/>
      <c r="CU225" s="244"/>
      <c r="CV225" s="244"/>
      <c r="CW225" s="244"/>
      <c r="CX225" s="244"/>
      <c r="CY225" s="244"/>
      <c r="CZ225" s="244"/>
      <c r="DA225" s="244"/>
      <c r="DB225" s="244"/>
      <c r="DC225" s="244"/>
      <c r="DD225" s="244"/>
      <c r="DE225" s="244"/>
      <c r="DF225" s="244"/>
      <c r="DG225" s="244"/>
      <c r="DH225" s="244"/>
      <c r="DI225" s="244"/>
      <c r="DJ225" s="244"/>
    </row>
    <row r="226" spans="1:114" s="245" customFormat="1" ht="24" customHeight="1">
      <c r="A226" s="267" t="s">
        <v>20</v>
      </c>
      <c r="B226" s="220">
        <f>B224</f>
        <v>0</v>
      </c>
      <c r="C226" s="362"/>
      <c r="D226" s="220">
        <f>D224+D225</f>
        <v>0</v>
      </c>
      <c r="E226" s="289"/>
      <c r="F226" s="156"/>
      <c r="G226" s="240"/>
      <c r="H226" s="158">
        <f>H224+H225</f>
        <v>0</v>
      </c>
      <c r="I226" s="158"/>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c r="CF226" s="244"/>
      <c r="CG226" s="244"/>
      <c r="CH226" s="244"/>
      <c r="CI226" s="244"/>
      <c r="CJ226" s="244"/>
      <c r="CK226" s="244"/>
      <c r="CL226" s="244"/>
      <c r="CM226" s="244"/>
      <c r="CN226" s="244"/>
      <c r="CO226" s="244"/>
      <c r="CP226" s="244"/>
      <c r="CQ226" s="244"/>
      <c r="CR226" s="244"/>
      <c r="CS226" s="244"/>
      <c r="CT226" s="244"/>
      <c r="CU226" s="244"/>
      <c r="CV226" s="244"/>
      <c r="CW226" s="244"/>
      <c r="CX226" s="244"/>
      <c r="CY226" s="244"/>
      <c r="CZ226" s="244"/>
      <c r="DA226" s="244"/>
      <c r="DB226" s="244"/>
      <c r="DC226" s="244"/>
      <c r="DD226" s="244"/>
      <c r="DE226" s="244"/>
      <c r="DF226" s="244"/>
      <c r="DG226" s="244"/>
      <c r="DH226" s="244"/>
      <c r="DI226" s="244"/>
      <c r="DJ226" s="244"/>
    </row>
    <row r="227" spans="1:114" s="245" customFormat="1" ht="39" customHeight="1">
      <c r="A227" s="157" t="s">
        <v>318</v>
      </c>
      <c r="B227" s="261"/>
      <c r="C227" s="215"/>
      <c r="D227" s="286"/>
      <c r="E227" s="214"/>
      <c r="F227" s="156"/>
      <c r="G227" s="240"/>
      <c r="H227" s="152"/>
      <c r="I227" s="207"/>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c r="CF227" s="244"/>
      <c r="CG227" s="244"/>
      <c r="CH227" s="244"/>
      <c r="CI227" s="244"/>
      <c r="CJ227" s="244"/>
      <c r="CK227" s="244"/>
      <c r="CL227" s="244"/>
      <c r="CM227" s="244"/>
      <c r="CN227" s="244"/>
      <c r="CO227" s="244"/>
      <c r="CP227" s="244"/>
      <c r="CQ227" s="244"/>
      <c r="CR227" s="244"/>
      <c r="CS227" s="244"/>
      <c r="CT227" s="244"/>
      <c r="CU227" s="244"/>
      <c r="CV227" s="244"/>
      <c r="CW227" s="244"/>
      <c r="CX227" s="244"/>
      <c r="CY227" s="244"/>
      <c r="CZ227" s="244"/>
      <c r="DA227" s="244"/>
      <c r="DB227" s="244"/>
      <c r="DC227" s="244"/>
      <c r="DD227" s="244"/>
      <c r="DE227" s="244"/>
      <c r="DF227" s="244"/>
      <c r="DG227" s="244"/>
      <c r="DH227" s="244"/>
      <c r="DI227" s="244"/>
      <c r="DJ227" s="244"/>
    </row>
    <row r="228" spans="1:114" s="245" customFormat="1" ht="24.75" customHeight="1" thickBot="1">
      <c r="A228" s="229" t="s">
        <v>20</v>
      </c>
      <c r="B228" s="238">
        <f>B227</f>
        <v>0</v>
      </c>
      <c r="C228" s="146"/>
      <c r="D228" s="294">
        <f>D227</f>
        <v>0</v>
      </c>
      <c r="E228" s="220"/>
      <c r="F228" s="159"/>
      <c r="G228" s="240"/>
      <c r="H228" s="250">
        <f>H227</f>
        <v>0</v>
      </c>
      <c r="I228" s="158"/>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c r="CF228" s="244"/>
      <c r="CG228" s="244"/>
      <c r="CH228" s="244"/>
      <c r="CI228" s="244"/>
      <c r="CJ228" s="244"/>
      <c r="CK228" s="244"/>
      <c r="CL228" s="244"/>
      <c r="CM228" s="244"/>
      <c r="CN228" s="244"/>
      <c r="CO228" s="244"/>
      <c r="CP228" s="244"/>
      <c r="CQ228" s="244"/>
      <c r="CR228" s="244"/>
      <c r="CS228" s="244"/>
      <c r="CT228" s="244"/>
      <c r="CU228" s="244"/>
      <c r="CV228" s="244"/>
      <c r="CW228" s="244"/>
      <c r="CX228" s="244"/>
      <c r="CY228" s="244"/>
      <c r="CZ228" s="244"/>
      <c r="DA228" s="244"/>
      <c r="DB228" s="244"/>
      <c r="DC228" s="244"/>
      <c r="DD228" s="244"/>
      <c r="DE228" s="244"/>
      <c r="DF228" s="244"/>
      <c r="DG228" s="244"/>
      <c r="DH228" s="244"/>
      <c r="DI228" s="244"/>
      <c r="DJ228" s="244"/>
    </row>
    <row r="229" spans="1:114" s="269" customFormat="1" ht="60.75" customHeight="1" thickBot="1">
      <c r="A229" s="253" t="s">
        <v>324</v>
      </c>
      <c r="B229" s="220">
        <f>SUM(B219+B70+B73+B87+B91+B94+B98+B110+B131+B134+B141+B154+B160+B226+B164+B169+B172+B175+B182+B186+B194+B197+B202+B210+B213+B216+B221+B223+B228)</f>
        <v>66600.09</v>
      </c>
      <c r="C229" s="220"/>
      <c r="D229" s="308">
        <f>SUM(D219+D70+D73+D87+D91+D226+D94+D98+D110+D131+D134+D141+D154+D160+D164+D169+D172+D175+D182+D186+D194+D197+D202+D210+D213+D216+D221+D223+D228+D206)</f>
        <v>6515830.93</v>
      </c>
      <c r="E229" s="220">
        <f>SUM(E219+E70+E73+E87+E91+E226+E94+E98+E110+E131+E134+E141+E154+E160+E164+E169+E172+E175+E182+E186+E194+E197+E202+E210+E213+E216+E221+E223+E228)</f>
        <v>0</v>
      </c>
      <c r="F229" s="220">
        <f>SUM(F219+F70+F73+F87+F91+F226+F94+F98+F110+F131+F134+F141+F154+F160+F164+F169+F172+F175+F182+F186+F194+F197+F202+F210+F213+F216+F221+F223+F228)</f>
        <v>0</v>
      </c>
      <c r="G229" s="220">
        <f>SUM(G219+G70+G73+G87+G91+G226+G94+G98+G110+G131+G134+G141+G154+G160+G164+G169+G172+G175+G182+G186+G194+G197+G202+G210+G213+G216+G221+G223+G228)</f>
        <v>0</v>
      </c>
      <c r="H229" s="220">
        <f>SUM(H219+H70+H73+H87+H91+H226+H94+H98+H110+H131+H134+H141+H154+H160+H164+H169+H172+H175+H182+H186+H194+H197+H202+H210+H213+H216+H221+H223+H228)+H206</f>
        <v>0</v>
      </c>
      <c r="I229" s="220">
        <f>SUM(I219+I70+I73+I87+I91+I226+I94+I98+I110+I131+I134+I141+I154+I160+I164+I169+I172+I175+I182+I186+I194+I197+I202+I210+I213+I216+I221+I223+I228)</f>
        <v>0</v>
      </c>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row>
    <row r="230" spans="1:114" s="269" customFormat="1" ht="79.5" customHeight="1" thickBot="1">
      <c r="A230" s="229" t="s">
        <v>325</v>
      </c>
      <c r="B230" s="221">
        <f>SUM(B67+B229)</f>
        <v>189647.30000000002</v>
      </c>
      <c r="C230" s="221"/>
      <c r="D230" s="309">
        <f aca="true" t="shared" si="0" ref="D230:I230">D229+D67</f>
        <v>6720562.09</v>
      </c>
      <c r="E230" s="221">
        <f t="shared" si="0"/>
        <v>0</v>
      </c>
      <c r="F230" s="221">
        <f t="shared" si="0"/>
        <v>0</v>
      </c>
      <c r="G230" s="221">
        <f t="shared" si="0"/>
        <v>0</v>
      </c>
      <c r="H230" s="221">
        <f t="shared" si="0"/>
        <v>0</v>
      </c>
      <c r="I230" s="221">
        <f t="shared" si="0"/>
        <v>0</v>
      </c>
      <c r="J230" s="268"/>
      <c r="K230" s="268"/>
      <c r="L230" s="268"/>
      <c r="M230" s="268"/>
      <c r="N230" s="268"/>
      <c r="O230" s="268"/>
      <c r="P230" s="268"/>
      <c r="Q230" s="268"/>
      <c r="R230" s="268"/>
      <c r="S230" s="268"/>
      <c r="T230" s="268"/>
      <c r="U230" s="268"/>
      <c r="V230" s="268"/>
      <c r="W230" s="268"/>
      <c r="X230" s="268"/>
      <c r="Y230" s="268"/>
      <c r="Z230" s="268"/>
      <c r="AA230" s="268"/>
      <c r="AB230" s="268"/>
      <c r="AC230" s="268"/>
      <c r="AD230" s="268"/>
      <c r="AE230" s="268"/>
      <c r="AF230" s="268"/>
      <c r="AG230" s="268"/>
      <c r="AH230" s="268"/>
      <c r="AI230" s="268"/>
      <c r="AJ230" s="268"/>
      <c r="AK230" s="268"/>
      <c r="AL230" s="268"/>
      <c r="AM230" s="268"/>
      <c r="AN230" s="268"/>
      <c r="AO230" s="268"/>
      <c r="AP230" s="268"/>
      <c r="AQ230" s="268"/>
      <c r="AR230" s="268"/>
      <c r="AS230" s="268"/>
      <c r="AT230" s="268"/>
      <c r="AU230" s="268"/>
      <c r="AV230" s="268"/>
      <c r="AW230" s="268"/>
      <c r="AX230" s="268"/>
      <c r="AY230" s="268"/>
      <c r="AZ230" s="268"/>
      <c r="BA230" s="268"/>
      <c r="BB230" s="268"/>
      <c r="BC230" s="268"/>
      <c r="BD230" s="268"/>
      <c r="BE230" s="268"/>
      <c r="BF230" s="268"/>
      <c r="BG230" s="268"/>
      <c r="BH230" s="268"/>
      <c r="BI230" s="268"/>
      <c r="BJ230" s="268"/>
      <c r="BK230" s="268"/>
      <c r="BL230" s="268"/>
      <c r="BM230" s="268"/>
      <c r="BN230" s="268"/>
      <c r="BO230" s="268"/>
      <c r="BP230" s="268"/>
      <c r="BQ230" s="268"/>
      <c r="BR230" s="268"/>
      <c r="BS230" s="268"/>
      <c r="BT230" s="268"/>
      <c r="BU230" s="268"/>
      <c r="BV230" s="268"/>
      <c r="BW230" s="268"/>
      <c r="BX230" s="268"/>
      <c r="BY230" s="268"/>
      <c r="BZ230" s="268"/>
      <c r="CA230" s="268"/>
      <c r="CB230" s="268"/>
      <c r="CC230" s="268"/>
      <c r="CD230" s="268"/>
      <c r="CE230" s="268"/>
      <c r="CF230" s="268"/>
      <c r="CG230" s="268"/>
      <c r="CH230" s="268"/>
      <c r="CI230" s="268"/>
      <c r="CJ230" s="268"/>
      <c r="CK230" s="268"/>
      <c r="CL230" s="268"/>
      <c r="CM230" s="268"/>
      <c r="CN230" s="268"/>
      <c r="CO230" s="268"/>
      <c r="CP230" s="268"/>
      <c r="CQ230" s="268"/>
      <c r="CR230" s="268"/>
      <c r="CS230" s="268"/>
      <c r="CT230" s="268"/>
      <c r="CU230" s="268"/>
      <c r="CV230" s="268"/>
      <c r="CW230" s="268"/>
      <c r="CX230" s="268"/>
      <c r="CY230" s="268"/>
      <c r="CZ230" s="268"/>
      <c r="DA230" s="268"/>
      <c r="DB230" s="268"/>
      <c r="DC230" s="268"/>
      <c r="DD230" s="268"/>
      <c r="DE230" s="268"/>
      <c r="DF230" s="268"/>
      <c r="DG230" s="268"/>
      <c r="DH230" s="268"/>
      <c r="DI230" s="268"/>
      <c r="DJ230" s="268"/>
    </row>
    <row r="231" spans="1:114" s="272" customFormat="1" ht="9.75" customHeight="1" hidden="1">
      <c r="A231" s="222"/>
      <c r="B231" s="270"/>
      <c r="C231" s="222"/>
      <c r="D231" s="295"/>
      <c r="E231" s="273"/>
      <c r="F231" s="271"/>
      <c r="G231" s="271"/>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2"/>
      <c r="AE231" s="232"/>
      <c r="AF231" s="232"/>
      <c r="AG231" s="232"/>
      <c r="AH231" s="232"/>
      <c r="AI231" s="232"/>
      <c r="AJ231" s="232"/>
      <c r="AK231" s="232"/>
      <c r="AL231" s="232"/>
      <c r="AM231" s="232"/>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row>
    <row r="232" spans="1:114" s="272" customFormat="1" ht="33" customHeight="1">
      <c r="A232" s="223" t="s">
        <v>326</v>
      </c>
      <c r="B232" s="273"/>
      <c r="C232" s="223"/>
      <c r="D232" s="295"/>
      <c r="E232" s="273" t="s">
        <v>34</v>
      </c>
      <c r="F232" s="271"/>
      <c r="G232" s="223" t="s">
        <v>343</v>
      </c>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2"/>
      <c r="AE232" s="232"/>
      <c r="AF232" s="232"/>
      <c r="AG232" s="232"/>
      <c r="AH232" s="232"/>
      <c r="AI232" s="232"/>
      <c r="AJ232" s="232"/>
      <c r="AK232" s="232"/>
      <c r="AL232" s="232"/>
      <c r="AM232" s="232"/>
      <c r="AN232" s="232"/>
      <c r="AO232" s="232"/>
      <c r="AP232" s="232"/>
      <c r="AQ232" s="232"/>
      <c r="AR232" s="232"/>
      <c r="AS232" s="232"/>
      <c r="AT232" s="232"/>
      <c r="AU232" s="232"/>
      <c r="AV232" s="232"/>
      <c r="AW232" s="232"/>
      <c r="AX232" s="232"/>
      <c r="AY232" s="232"/>
      <c r="AZ232" s="232"/>
      <c r="BA232" s="232"/>
      <c r="BB232" s="232"/>
      <c r="BC232" s="232"/>
      <c r="BD232" s="232"/>
      <c r="BE232" s="232"/>
      <c r="BF232" s="232"/>
      <c r="BG232" s="232"/>
      <c r="BH232" s="232"/>
      <c r="BI232" s="232"/>
      <c r="BJ232" s="232"/>
      <c r="BK232" s="232"/>
      <c r="BL232" s="232"/>
      <c r="BM232" s="232"/>
      <c r="BN232" s="232"/>
      <c r="BO232" s="232"/>
      <c r="BP232" s="232"/>
      <c r="BQ232" s="232"/>
      <c r="BR232" s="232"/>
      <c r="BS232" s="232"/>
      <c r="BT232" s="232"/>
      <c r="BU232" s="232"/>
      <c r="BV232" s="232"/>
      <c r="BW232" s="232"/>
      <c r="BX232" s="232"/>
      <c r="BY232" s="232"/>
      <c r="BZ232" s="232"/>
      <c r="CA232" s="232"/>
      <c r="CB232" s="232"/>
      <c r="CC232" s="232"/>
      <c r="CD232" s="232"/>
      <c r="CE232" s="232"/>
      <c r="CF232" s="232"/>
      <c r="CG232" s="232"/>
      <c r="CH232" s="232"/>
      <c r="CI232" s="232"/>
      <c r="CJ232" s="232"/>
      <c r="CK232" s="232"/>
      <c r="CL232" s="232"/>
      <c r="CM232" s="232"/>
      <c r="CN232" s="232"/>
      <c r="CO232" s="232"/>
      <c r="CP232" s="232"/>
      <c r="CQ232" s="232"/>
      <c r="CR232" s="232"/>
      <c r="CS232" s="232"/>
      <c r="CT232" s="232"/>
      <c r="CU232" s="232"/>
      <c r="CV232" s="232"/>
      <c r="CW232" s="232"/>
      <c r="CX232" s="232"/>
      <c r="CY232" s="232"/>
      <c r="CZ232" s="232"/>
      <c r="DA232" s="232"/>
      <c r="DB232" s="232"/>
      <c r="DC232" s="232"/>
      <c r="DD232" s="232"/>
      <c r="DE232" s="232"/>
      <c r="DF232" s="232"/>
      <c r="DG232" s="232"/>
      <c r="DH232" s="232"/>
      <c r="DI232" s="232"/>
      <c r="DJ232" s="232"/>
    </row>
    <row r="233" spans="1:9" ht="20.25" customHeight="1">
      <c r="A233" s="222" t="s">
        <v>35</v>
      </c>
      <c r="B233" s="270"/>
      <c r="C233" s="224"/>
      <c r="D233" s="296"/>
      <c r="E233" s="300"/>
      <c r="F233" s="222"/>
      <c r="G233" s="222" t="s">
        <v>344</v>
      </c>
      <c r="H233" s="182"/>
      <c r="I233" s="182"/>
    </row>
    <row r="234" spans="1:10" ht="20.25" customHeight="1">
      <c r="A234" s="224" t="s">
        <v>345</v>
      </c>
      <c r="B234" s="224"/>
      <c r="C234" s="224"/>
      <c r="D234" s="295"/>
      <c r="E234" s="298"/>
      <c r="F234" s="274"/>
      <c r="G234" s="274"/>
      <c r="H234" s="182"/>
      <c r="I234" s="246"/>
      <c r="J234" s="182" t="s">
        <v>327</v>
      </c>
    </row>
    <row r="235" spans="1:9" ht="20.25" customHeight="1">
      <c r="A235" s="224" t="s">
        <v>346</v>
      </c>
      <c r="B235" s="224"/>
      <c r="C235" s="224"/>
      <c r="D235" s="295"/>
      <c r="E235" s="298"/>
      <c r="F235" s="274"/>
      <c r="G235" s="274"/>
      <c r="H235" s="182"/>
      <c r="I235" s="182"/>
    </row>
    <row r="236" spans="1:9" ht="12" customHeight="1">
      <c r="A236" s="182"/>
      <c r="B236" s="225"/>
      <c r="C236" s="225"/>
      <c r="D236" s="297"/>
      <c r="E236" s="225"/>
      <c r="F236" s="182"/>
      <c r="G236" s="182"/>
      <c r="H236" s="182"/>
      <c r="I236" s="182"/>
    </row>
    <row r="237" spans="1:9" ht="15.75">
      <c r="A237" s="182"/>
      <c r="B237" s="225"/>
      <c r="C237" s="225"/>
      <c r="D237" s="297"/>
      <c r="E237" s="225"/>
      <c r="F237" s="182"/>
      <c r="G237" s="182"/>
      <c r="H237" s="182"/>
      <c r="I237" s="182"/>
    </row>
    <row r="238" spans="1:9" ht="15.75">
      <c r="A238" s="182"/>
      <c r="B238" s="225"/>
      <c r="C238" s="225"/>
      <c r="D238" s="297"/>
      <c r="E238" s="225"/>
      <c r="F238" s="182"/>
      <c r="G238" s="182"/>
      <c r="H238" s="182"/>
      <c r="I238" s="182"/>
    </row>
  </sheetData>
  <sheetProtection/>
  <mergeCells count="157">
    <mergeCell ref="A224:A225"/>
    <mergeCell ref="B224:B225"/>
    <mergeCell ref="A170:A171"/>
    <mergeCell ref="B170:B171"/>
    <mergeCell ref="C224:C226"/>
    <mergeCell ref="B74:B86"/>
    <mergeCell ref="A74:A86"/>
    <mergeCell ref="B99:B109"/>
    <mergeCell ref="A99:A109"/>
    <mergeCell ref="B121:B130"/>
    <mergeCell ref="A121:A130"/>
    <mergeCell ref="B142:B153"/>
    <mergeCell ref="A198:A201"/>
    <mergeCell ref="B198:B201"/>
    <mergeCell ref="F198:F201"/>
    <mergeCell ref="G198:G201"/>
    <mergeCell ref="A214:A215"/>
    <mergeCell ref="B214:B215"/>
    <mergeCell ref="A211:A212"/>
    <mergeCell ref="B211:B212"/>
    <mergeCell ref="B203:B205"/>
    <mergeCell ref="A203:A205"/>
    <mergeCell ref="A207:A209"/>
    <mergeCell ref="B207:B209"/>
    <mergeCell ref="F189:F193"/>
    <mergeCell ref="G189:G193"/>
    <mergeCell ref="A195:A196"/>
    <mergeCell ref="B195:B196"/>
    <mergeCell ref="F195:F196"/>
    <mergeCell ref="G195:G196"/>
    <mergeCell ref="B187:B193"/>
    <mergeCell ref="A187:A193"/>
    <mergeCell ref="F179:F181"/>
    <mergeCell ref="G179:G181"/>
    <mergeCell ref="A183:A185"/>
    <mergeCell ref="B183:B185"/>
    <mergeCell ref="C183:C184"/>
    <mergeCell ref="F183:F185"/>
    <mergeCell ref="G183:G185"/>
    <mergeCell ref="B176:B181"/>
    <mergeCell ref="A176:A181"/>
    <mergeCell ref="F170:F171"/>
    <mergeCell ref="G170:G171"/>
    <mergeCell ref="A173:A174"/>
    <mergeCell ref="B173:B174"/>
    <mergeCell ref="F173:F174"/>
    <mergeCell ref="G173:G174"/>
    <mergeCell ref="A161:A163"/>
    <mergeCell ref="B161:B163"/>
    <mergeCell ref="F161:F163"/>
    <mergeCell ref="G161:G163"/>
    <mergeCell ref="C166:C168"/>
    <mergeCell ref="F166:F168"/>
    <mergeCell ref="G166:G168"/>
    <mergeCell ref="A165:A168"/>
    <mergeCell ref="B165:B168"/>
    <mergeCell ref="F142:F152"/>
    <mergeCell ref="G142:G152"/>
    <mergeCell ref="C148:C152"/>
    <mergeCell ref="A155:A159"/>
    <mergeCell ref="B155:B159"/>
    <mergeCell ref="F155:F159"/>
    <mergeCell ref="G155:G159"/>
    <mergeCell ref="A142:A153"/>
    <mergeCell ref="A132:A133"/>
    <mergeCell ref="B132:B133"/>
    <mergeCell ref="F132:F133"/>
    <mergeCell ref="G132:G133"/>
    <mergeCell ref="A135:A140"/>
    <mergeCell ref="B135:B140"/>
    <mergeCell ref="F135:F140"/>
    <mergeCell ref="G135:G140"/>
    <mergeCell ref="C105:C110"/>
    <mergeCell ref="F105:F109"/>
    <mergeCell ref="G105:G109"/>
    <mergeCell ref="C126:C131"/>
    <mergeCell ref="F126:F130"/>
    <mergeCell ref="G126:G130"/>
    <mergeCell ref="A92:A93"/>
    <mergeCell ref="B92:B93"/>
    <mergeCell ref="F92:F93"/>
    <mergeCell ref="G92:G93"/>
    <mergeCell ref="A95:A97"/>
    <mergeCell ref="B95:B97"/>
    <mergeCell ref="F95:F97"/>
    <mergeCell ref="G95:G97"/>
    <mergeCell ref="C80:C86"/>
    <mergeCell ref="F80:F86"/>
    <mergeCell ref="G80:G86"/>
    <mergeCell ref="A88:A90"/>
    <mergeCell ref="B88:B90"/>
    <mergeCell ref="C88:C90"/>
    <mergeCell ref="F88:F90"/>
    <mergeCell ref="G88:G90"/>
    <mergeCell ref="B68:B69"/>
    <mergeCell ref="A71:A72"/>
    <mergeCell ref="B71:B72"/>
    <mergeCell ref="B38:B40"/>
    <mergeCell ref="A38:A40"/>
    <mergeCell ref="A61:A62"/>
    <mergeCell ref="B61:B62"/>
    <mergeCell ref="A42:A43"/>
    <mergeCell ref="B42:B43"/>
    <mergeCell ref="B18:B19"/>
    <mergeCell ref="A55:A56"/>
    <mergeCell ref="B55:B56"/>
    <mergeCell ref="A58:A59"/>
    <mergeCell ref="B58:B59"/>
    <mergeCell ref="B48:B50"/>
    <mergeCell ref="A48:A50"/>
    <mergeCell ref="C49:C50"/>
    <mergeCell ref="A52:A53"/>
    <mergeCell ref="B52:B53"/>
    <mergeCell ref="C52:C53"/>
    <mergeCell ref="A217:A218"/>
    <mergeCell ref="B217:B218"/>
    <mergeCell ref="C61:C62"/>
    <mergeCell ref="A64:A65"/>
    <mergeCell ref="B64:B65"/>
    <mergeCell ref="A68:A69"/>
    <mergeCell ref="C42:C43"/>
    <mergeCell ref="A45:A46"/>
    <mergeCell ref="B45:B46"/>
    <mergeCell ref="C45:C47"/>
    <mergeCell ref="C35:C36"/>
    <mergeCell ref="B34:B36"/>
    <mergeCell ref="A34:A36"/>
    <mergeCell ref="C12:C13"/>
    <mergeCell ref="A15:A16"/>
    <mergeCell ref="G27:G28"/>
    <mergeCell ref="H27:H28"/>
    <mergeCell ref="I27:I28"/>
    <mergeCell ref="A31:A32"/>
    <mergeCell ref="B31:B32"/>
    <mergeCell ref="A27:A29"/>
    <mergeCell ref="B27:B29"/>
    <mergeCell ref="F27:F28"/>
    <mergeCell ref="F8:I8"/>
    <mergeCell ref="B9:C10"/>
    <mergeCell ref="A18:A20"/>
    <mergeCell ref="A21:A22"/>
    <mergeCell ref="B21:B22"/>
    <mergeCell ref="A24:A25"/>
    <mergeCell ref="B24:B25"/>
    <mergeCell ref="H9:I10"/>
    <mergeCell ref="A12:A13"/>
    <mergeCell ref="B12:B13"/>
    <mergeCell ref="D9:E10"/>
    <mergeCell ref="F9:G10"/>
    <mergeCell ref="B15:B16"/>
    <mergeCell ref="C15:C16"/>
    <mergeCell ref="G4:I4"/>
    <mergeCell ref="A5:I5"/>
    <mergeCell ref="A6:I6"/>
    <mergeCell ref="A7:I7"/>
    <mergeCell ref="A8:A11"/>
    <mergeCell ref="B8:E8"/>
  </mergeCells>
  <printOptions/>
  <pageMargins left="0.7086614173228347" right="0.11811023622047245" top="0.15748031496062992" bottom="0.15748031496062992" header="0.31496062992125984" footer="0.31496062992125984"/>
  <pageSetup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dimension ref="A1:DJ136"/>
  <sheetViews>
    <sheetView zoomScale="66" zoomScaleNormal="66" zoomScalePageLayoutView="0" workbookViewId="0" topLeftCell="A8">
      <pane xSplit="1" ySplit="4" topLeftCell="B12" activePane="bottomRight" state="frozen"/>
      <selection pane="topLeft" activeCell="A8" sqref="A8"/>
      <selection pane="topRight" activeCell="B8" sqref="B8"/>
      <selection pane="bottomLeft" activeCell="A12" sqref="A12"/>
      <selection pane="bottomRight" activeCell="A8" sqref="A1:IV16384"/>
    </sheetView>
  </sheetViews>
  <sheetFormatPr defaultColWidth="9.140625" defaultRowHeight="15"/>
  <cols>
    <col min="1" max="1" width="16.7109375" style="1" customWidth="1"/>
    <col min="2" max="2" width="19.00390625" style="1" customWidth="1"/>
    <col min="3" max="3" width="31.00390625" style="5" customWidth="1"/>
    <col min="4" max="4" width="13.8515625" style="1" customWidth="1"/>
    <col min="5" max="5" width="19.28125" style="1" customWidth="1"/>
    <col min="6" max="6" width="13.8515625" style="1" customWidth="1"/>
    <col min="7" max="7" width="29.7109375" style="1" customWidth="1"/>
    <col min="8" max="8" width="12.8515625" style="1" customWidth="1"/>
    <col min="9" max="9" width="28.28125" style="1" customWidth="1"/>
    <col min="10" max="10" width="8.140625" style="2" customWidth="1"/>
    <col min="11" max="114" width="9.140625" style="2" customWidth="1"/>
    <col min="115" max="16384" width="9.14062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253</v>
      </c>
      <c r="B6" s="364"/>
      <c r="C6" s="364"/>
      <c r="D6" s="364"/>
      <c r="E6" s="364"/>
      <c r="F6" s="364"/>
      <c r="G6" s="364"/>
      <c r="H6" s="364"/>
      <c r="I6" s="364"/>
    </row>
    <row r="7" spans="1:114" s="4" customFormat="1" ht="15.75">
      <c r="A7" s="364" t="s">
        <v>27</v>
      </c>
      <c r="B7" s="364"/>
      <c r="C7" s="364"/>
      <c r="D7" s="364"/>
      <c r="E7" s="364"/>
      <c r="F7" s="364"/>
      <c r="G7" s="364"/>
      <c r="H7" s="364"/>
      <c r="I7" s="364"/>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row>
    <row r="8" spans="1:114" s="10" customFormat="1" ht="19.5" customHeight="1">
      <c r="A8" s="420" t="s">
        <v>28</v>
      </c>
      <c r="B8" s="420" t="s">
        <v>0</v>
      </c>
      <c r="C8" s="420"/>
      <c r="D8" s="420"/>
      <c r="E8" s="420"/>
      <c r="F8" s="420" t="s">
        <v>1</v>
      </c>
      <c r="G8" s="420"/>
      <c r="H8" s="420"/>
      <c r="I8" s="420"/>
      <c r="J8" s="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0" customFormat="1" ht="13.5" customHeight="1">
      <c r="A9" s="420"/>
      <c r="B9" s="420" t="s">
        <v>2</v>
      </c>
      <c r="C9" s="420"/>
      <c r="D9" s="420" t="s">
        <v>23</v>
      </c>
      <c r="E9" s="420"/>
      <c r="F9" s="420" t="s">
        <v>2</v>
      </c>
      <c r="G9" s="420"/>
      <c r="H9" s="420" t="s">
        <v>3</v>
      </c>
      <c r="I9" s="421"/>
      <c r="J9" s="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0" customFormat="1" ht="26.25" customHeight="1">
      <c r="A10" s="420"/>
      <c r="B10" s="420"/>
      <c r="C10" s="420"/>
      <c r="D10" s="420"/>
      <c r="E10" s="420"/>
      <c r="F10" s="420"/>
      <c r="G10" s="420"/>
      <c r="H10" s="421"/>
      <c r="I10" s="421"/>
      <c r="J10" s="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0" customFormat="1" ht="67.5" customHeight="1">
      <c r="A11" s="420"/>
      <c r="B11" s="19" t="s">
        <v>22</v>
      </c>
      <c r="C11" s="20" t="s">
        <v>4</v>
      </c>
      <c r="D11" s="19" t="s">
        <v>22</v>
      </c>
      <c r="E11" s="19" t="s">
        <v>5</v>
      </c>
      <c r="F11" s="19" t="s">
        <v>22</v>
      </c>
      <c r="G11" s="19" t="s">
        <v>4</v>
      </c>
      <c r="H11" s="19" t="s">
        <v>22</v>
      </c>
      <c r="I11" s="19" t="s">
        <v>6</v>
      </c>
      <c r="J11" s="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0" customFormat="1" ht="39" customHeight="1">
      <c r="A12" s="422" t="s">
        <v>24</v>
      </c>
      <c r="B12" s="423">
        <f>980+495+394+2138+392+9440+216+10300+252+276</f>
        <v>24883</v>
      </c>
      <c r="C12" s="424" t="s">
        <v>238</v>
      </c>
      <c r="D12" s="23"/>
      <c r="E12" s="188"/>
      <c r="F12" s="25"/>
      <c r="G12" s="97"/>
      <c r="H12" s="26"/>
      <c r="I12" s="26"/>
      <c r="J12" s="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0" customFormat="1" ht="20.25" customHeight="1">
      <c r="A13" s="422"/>
      <c r="B13" s="423"/>
      <c r="C13" s="424"/>
      <c r="D13" s="23"/>
      <c r="E13" s="189"/>
      <c r="F13" s="25"/>
      <c r="G13" s="97"/>
      <c r="H13" s="26"/>
      <c r="I13" s="26"/>
      <c r="J13" s="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3" customFormat="1" ht="20.25" customHeight="1">
      <c r="A14" s="27" t="s">
        <v>19</v>
      </c>
      <c r="B14" s="48">
        <f>SUM(B12:B13)</f>
        <v>24883</v>
      </c>
      <c r="C14" s="94"/>
      <c r="D14" s="29"/>
      <c r="E14" s="190"/>
      <c r="F14" s="31"/>
      <c r="G14" s="98"/>
      <c r="H14" s="27"/>
      <c r="I14" s="27"/>
      <c r="J14" s="11"/>
      <c r="K14" s="183"/>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10" customFormat="1" ht="63" customHeight="1">
      <c r="A15" s="44" t="s">
        <v>7</v>
      </c>
      <c r="B15" s="179">
        <f>369+391.5+332.4+6060+280.65+504.26+6950+720+678.9</f>
        <v>16286.71</v>
      </c>
      <c r="C15" s="40" t="s">
        <v>239</v>
      </c>
      <c r="D15" s="23"/>
      <c r="E15" s="119"/>
      <c r="F15" s="25"/>
      <c r="G15" s="97"/>
      <c r="H15" s="26"/>
      <c r="I15" s="26"/>
      <c r="J15" s="9"/>
      <c r="K15" s="18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3" customFormat="1" ht="19.5" customHeight="1">
      <c r="A16" s="27" t="s">
        <v>19</v>
      </c>
      <c r="B16" s="48">
        <f>SUM(B15)</f>
        <v>16286.71</v>
      </c>
      <c r="C16" s="40"/>
      <c r="D16" s="191"/>
      <c r="E16" s="190"/>
      <c r="F16" s="31"/>
      <c r="G16" s="98"/>
      <c r="H16" s="27"/>
      <c r="I16" s="27"/>
      <c r="J16" s="11"/>
      <c r="K16" s="18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s="13" customFormat="1" ht="37.5" customHeight="1">
      <c r="A17" s="44" t="s">
        <v>32</v>
      </c>
      <c r="B17" s="179">
        <f>194.1+2536.1+748.8+943.8+3900</f>
        <v>8322.8</v>
      </c>
      <c r="C17" s="40" t="s">
        <v>240</v>
      </c>
      <c r="D17" s="21"/>
      <c r="E17" s="119"/>
      <c r="F17" s="36">
        <f>2495+1000+2300+700</f>
        <v>6495</v>
      </c>
      <c r="G17" s="97" t="s">
        <v>108</v>
      </c>
      <c r="H17" s="27"/>
      <c r="I17" s="27"/>
      <c r="J17" s="11"/>
      <c r="K17" s="183"/>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s="13" customFormat="1" ht="23.25" customHeight="1">
      <c r="A18" s="27" t="s">
        <v>19</v>
      </c>
      <c r="B18" s="48">
        <f>SUM(B17)</f>
        <v>8322.8</v>
      </c>
      <c r="C18" s="40"/>
      <c r="D18" s="29"/>
      <c r="E18" s="190"/>
      <c r="F18" s="37">
        <f>F17</f>
        <v>6495</v>
      </c>
      <c r="G18" s="98"/>
      <c r="H18" s="27"/>
      <c r="I18" s="27"/>
      <c r="J18" s="11"/>
      <c r="K18" s="18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s="10" customFormat="1" ht="39.75" customHeight="1">
      <c r="A19" s="44" t="s">
        <v>55</v>
      </c>
      <c r="B19" s="179">
        <v>2542</v>
      </c>
      <c r="C19" s="40" t="s">
        <v>241</v>
      </c>
      <c r="D19" s="192"/>
      <c r="E19" s="39"/>
      <c r="F19" s="25"/>
      <c r="G19" s="97"/>
      <c r="H19" s="26"/>
      <c r="I19" s="26"/>
      <c r="J19" s="9"/>
      <c r="K19" s="18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13" customFormat="1" ht="17.25" customHeight="1">
      <c r="A20" s="27" t="s">
        <v>20</v>
      </c>
      <c r="B20" s="48">
        <f>B19</f>
        <v>2542</v>
      </c>
      <c r="C20" s="94"/>
      <c r="D20" s="23"/>
      <c r="E20" s="119"/>
      <c r="F20" s="31"/>
      <c r="G20" s="98"/>
      <c r="H20" s="27"/>
      <c r="I20" s="27"/>
      <c r="J20" s="11"/>
      <c r="K20" s="183"/>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s="10" customFormat="1" ht="20.25" customHeight="1">
      <c r="A21" s="21" t="s">
        <v>8</v>
      </c>
      <c r="B21" s="47">
        <v>243</v>
      </c>
      <c r="C21" s="40" t="s">
        <v>242</v>
      </c>
      <c r="D21" s="192"/>
      <c r="E21" s="39"/>
      <c r="F21" s="25"/>
      <c r="G21" s="97"/>
      <c r="H21" s="41"/>
      <c r="I21" s="97"/>
      <c r="J21" s="9"/>
      <c r="K21" s="18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13" customFormat="1" ht="17.25" customHeight="1">
      <c r="A22" s="27" t="s">
        <v>20</v>
      </c>
      <c r="B22" s="48">
        <f>B21</f>
        <v>243</v>
      </c>
      <c r="C22" s="40"/>
      <c r="D22" s="23"/>
      <c r="E22" s="119"/>
      <c r="F22" s="31"/>
      <c r="G22" s="98"/>
      <c r="H22" s="193"/>
      <c r="I22" s="27"/>
      <c r="J22" s="11"/>
      <c r="K22" s="183"/>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s="13" customFormat="1" ht="20.25" customHeight="1">
      <c r="A23" s="422" t="s">
        <v>9</v>
      </c>
      <c r="B23" s="425">
        <f>2240+13560+555.28+681+934+641+9600+2314+931+603+516+25000+504</f>
        <v>58079.28</v>
      </c>
      <c r="C23" s="424" t="s">
        <v>230</v>
      </c>
      <c r="D23" s="428"/>
      <c r="E23" s="429"/>
      <c r="F23" s="430"/>
      <c r="G23" s="427"/>
      <c r="H23" s="426"/>
      <c r="I23" s="426"/>
      <c r="J23" s="11"/>
      <c r="K23" s="183"/>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s="13" customFormat="1" ht="21" customHeight="1">
      <c r="A24" s="422"/>
      <c r="B24" s="425"/>
      <c r="C24" s="424"/>
      <c r="D24" s="428"/>
      <c r="E24" s="429"/>
      <c r="F24" s="430"/>
      <c r="G24" s="427"/>
      <c r="H24" s="426"/>
      <c r="I24" s="426"/>
      <c r="J24" s="11"/>
      <c r="K24" s="183"/>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13" customFormat="1" ht="22.5" customHeight="1">
      <c r="A25" s="27" t="s">
        <v>20</v>
      </c>
      <c r="B25" s="48">
        <f>SUM(B23:B24)</f>
        <v>58079.28</v>
      </c>
      <c r="C25" s="173"/>
      <c r="D25" s="23"/>
      <c r="E25" s="119"/>
      <c r="F25" s="74"/>
      <c r="G25" s="98"/>
      <c r="H25" s="60"/>
      <c r="I25" s="60"/>
      <c r="J25" s="11"/>
      <c r="K25" s="183"/>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s="10" customFormat="1" ht="38.25" customHeight="1">
      <c r="A26" s="44" t="s">
        <v>10</v>
      </c>
      <c r="B26" s="179">
        <f>64.8+64.8+570+64.8+64.8+64.8+64.8</f>
        <v>958.7999999999998</v>
      </c>
      <c r="C26" s="173" t="s">
        <v>218</v>
      </c>
      <c r="D26" s="23"/>
      <c r="E26" s="119"/>
      <c r="F26" s="59"/>
      <c r="G26" s="97"/>
      <c r="H26" s="19"/>
      <c r="I26" s="19"/>
      <c r="J26" s="9"/>
      <c r="K26" s="18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13" customFormat="1" ht="16.5" customHeight="1">
      <c r="A27" s="27" t="s">
        <v>20</v>
      </c>
      <c r="B27" s="48">
        <f>SUM(B26)</f>
        <v>958.7999999999998</v>
      </c>
      <c r="C27" s="173"/>
      <c r="D27" s="23"/>
      <c r="E27" s="119"/>
      <c r="F27" s="57"/>
      <c r="G27" s="98"/>
      <c r="H27" s="60"/>
      <c r="I27" s="60"/>
      <c r="J27" s="11"/>
      <c r="K27" s="183"/>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s="10" customFormat="1" ht="24.75" customHeight="1">
      <c r="A28" s="440" t="s">
        <v>11</v>
      </c>
      <c r="B28" s="441">
        <f>635.4+294.8+660+1100+294.8+142.4+110+133</f>
        <v>3370.4</v>
      </c>
      <c r="C28" s="424" t="s">
        <v>219</v>
      </c>
      <c r="D28" s="23"/>
      <c r="E28" s="119"/>
      <c r="F28" s="75"/>
      <c r="G28" s="97"/>
      <c r="H28" s="19"/>
      <c r="I28" s="19"/>
      <c r="J28" s="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10" customFormat="1" ht="19.5" customHeight="1">
      <c r="A29" s="440"/>
      <c r="B29" s="441"/>
      <c r="C29" s="424"/>
      <c r="D29" s="23"/>
      <c r="E29" s="119"/>
      <c r="F29" s="75"/>
      <c r="G29" s="97"/>
      <c r="H29" s="19"/>
      <c r="I29" s="19"/>
      <c r="J29" s="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13" customFormat="1" ht="18.75" customHeight="1">
      <c r="A30" s="27" t="s">
        <v>20</v>
      </c>
      <c r="B30" s="48">
        <f>SUM(B28:B29)</f>
        <v>3370.4</v>
      </c>
      <c r="C30" s="94"/>
      <c r="D30" s="19"/>
      <c r="E30" s="43"/>
      <c r="F30" s="74"/>
      <c r="G30" s="98"/>
      <c r="H30" s="60"/>
      <c r="I30" s="60"/>
      <c r="J30" s="11"/>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s="10" customFormat="1" ht="15.75" customHeight="1">
      <c r="A31" s="422" t="s">
        <v>49</v>
      </c>
      <c r="B31" s="423">
        <f>374.4+6834+399.6+8932+3755+13097+341.8</f>
        <v>33733.8</v>
      </c>
      <c r="C31" s="422" t="s">
        <v>254</v>
      </c>
      <c r="D31" s="23"/>
      <c r="E31" s="119"/>
      <c r="F31" s="75"/>
      <c r="G31" s="97"/>
      <c r="H31" s="19"/>
      <c r="I31" s="19"/>
      <c r="J31" s="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10" customFormat="1" ht="63" customHeight="1">
      <c r="A32" s="422"/>
      <c r="B32" s="423"/>
      <c r="C32" s="422"/>
      <c r="D32" s="23"/>
      <c r="E32" s="119"/>
      <c r="F32" s="75"/>
      <c r="G32" s="97"/>
      <c r="H32" s="19"/>
      <c r="I32" s="19"/>
      <c r="J32" s="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13" customFormat="1" ht="19.5" customHeight="1">
      <c r="A33" s="27" t="s">
        <v>20</v>
      </c>
      <c r="B33" s="48">
        <f>SUM(B31:B32)</f>
        <v>33733.8</v>
      </c>
      <c r="C33" s="422"/>
      <c r="D33" s="19"/>
      <c r="E33" s="43"/>
      <c r="F33" s="74"/>
      <c r="G33" s="98"/>
      <c r="H33" s="60"/>
      <c r="I33" s="60"/>
      <c r="J33" s="11"/>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s="10" customFormat="1" ht="36.75" customHeight="1">
      <c r="A34" s="44" t="s">
        <v>12</v>
      </c>
      <c r="B34" s="179">
        <f>378+378+394+258+258+258</f>
        <v>1924</v>
      </c>
      <c r="C34" s="40" t="s">
        <v>77</v>
      </c>
      <c r="D34" s="19"/>
      <c r="E34" s="43"/>
      <c r="F34" s="59"/>
      <c r="G34" s="97"/>
      <c r="H34" s="19"/>
      <c r="I34" s="19"/>
      <c r="J34" s="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13" customFormat="1" ht="16.5" customHeight="1">
      <c r="A35" s="27" t="s">
        <v>20</v>
      </c>
      <c r="B35" s="48">
        <f>SUM(B34)</f>
        <v>1924</v>
      </c>
      <c r="C35" s="40"/>
      <c r="D35" s="44"/>
      <c r="E35" s="45"/>
      <c r="F35" s="74"/>
      <c r="G35" s="98"/>
      <c r="H35" s="60"/>
      <c r="I35" s="60"/>
      <c r="J35" s="11"/>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s="10" customFormat="1" ht="35.25" customHeight="1">
      <c r="A36" s="21" t="s">
        <v>21</v>
      </c>
      <c r="B36" s="47">
        <f>850+154+196+904+190+200+45+750+1560</f>
        <v>4849</v>
      </c>
      <c r="C36" s="424" t="s">
        <v>255</v>
      </c>
      <c r="D36" s="44"/>
      <c r="E36" s="43"/>
      <c r="F36" s="59"/>
      <c r="G36" s="97"/>
      <c r="H36" s="19"/>
      <c r="I36" s="19"/>
      <c r="J36" s="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13" customFormat="1" ht="24.75" customHeight="1">
      <c r="A37" s="27" t="s">
        <v>20</v>
      </c>
      <c r="B37" s="48">
        <f>SUM(B36:B36)</f>
        <v>4849</v>
      </c>
      <c r="C37" s="424"/>
      <c r="D37" s="19"/>
      <c r="E37" s="43"/>
      <c r="F37" s="74"/>
      <c r="G37" s="98"/>
      <c r="H37" s="60"/>
      <c r="I37" s="60"/>
      <c r="J37" s="11"/>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s="10" customFormat="1" ht="42" customHeight="1">
      <c r="A38" s="44" t="s">
        <v>13</v>
      </c>
      <c r="B38" s="179">
        <f>550+634+648+4026+2572+475+521+542+350</f>
        <v>10318</v>
      </c>
      <c r="C38" s="40" t="s">
        <v>214</v>
      </c>
      <c r="D38" s="44"/>
      <c r="E38" s="43"/>
      <c r="F38" s="43"/>
      <c r="G38" s="97"/>
      <c r="H38" s="19"/>
      <c r="I38" s="19"/>
      <c r="J38" s="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row>
    <row r="39" spans="1:114" s="13" customFormat="1" ht="22.5" customHeight="1">
      <c r="A39" s="27" t="s">
        <v>20</v>
      </c>
      <c r="B39" s="48">
        <f>SUM(B38)</f>
        <v>10318</v>
      </c>
      <c r="C39" s="40"/>
      <c r="D39" s="44"/>
      <c r="E39" s="43"/>
      <c r="F39" s="74"/>
      <c r="G39" s="98"/>
      <c r="H39" s="60"/>
      <c r="I39" s="60"/>
      <c r="J39" s="11"/>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10" customFormat="1" ht="58.5" customHeight="1">
      <c r="A40" s="44" t="s">
        <v>14</v>
      </c>
      <c r="B40" s="179">
        <f>699+3000+11000+637</f>
        <v>15336</v>
      </c>
      <c r="C40" s="173" t="s">
        <v>231</v>
      </c>
      <c r="D40" s="44"/>
      <c r="E40" s="43"/>
      <c r="F40" s="43"/>
      <c r="G40" s="97"/>
      <c r="H40" s="19"/>
      <c r="I40" s="19"/>
      <c r="J40" s="9"/>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row>
    <row r="41" spans="1:114" s="13" customFormat="1" ht="17.25" customHeight="1">
      <c r="A41" s="27" t="s">
        <v>20</v>
      </c>
      <c r="B41" s="48">
        <f>SUM(B40:B40)</f>
        <v>15336</v>
      </c>
      <c r="C41" s="173"/>
      <c r="D41" s="44"/>
      <c r="E41" s="43"/>
      <c r="F41" s="74">
        <f>F40</f>
        <v>0</v>
      </c>
      <c r="G41" s="98"/>
      <c r="H41" s="60"/>
      <c r="I41" s="60"/>
      <c r="J41" s="11"/>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s="10" customFormat="1" ht="42.75" customHeight="1">
      <c r="A42" s="44" t="s">
        <v>15</v>
      </c>
      <c r="B42" s="179">
        <f>24000+644+2000+822+822+722+722+544</f>
        <v>30276</v>
      </c>
      <c r="C42" s="40" t="s">
        <v>211</v>
      </c>
      <c r="D42" s="44"/>
      <c r="E42" s="45"/>
      <c r="F42" s="43"/>
      <c r="G42" s="97"/>
      <c r="H42" s="19"/>
      <c r="I42" s="19"/>
      <c r="J42" s="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row>
    <row r="43" spans="1:114" s="13" customFormat="1" ht="21.75" customHeight="1">
      <c r="A43" s="27" t="s">
        <v>20</v>
      </c>
      <c r="B43" s="48">
        <f>SUM(B42:B42)</f>
        <v>30276</v>
      </c>
      <c r="C43" s="40"/>
      <c r="D43" s="44"/>
      <c r="E43" s="45"/>
      <c r="F43" s="74"/>
      <c r="G43" s="98"/>
      <c r="H43" s="60"/>
      <c r="I43" s="60"/>
      <c r="J43" s="11"/>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s="10" customFormat="1" ht="42.75" customHeight="1">
      <c r="A44" s="44" t="s">
        <v>16</v>
      </c>
      <c r="B44" s="179">
        <f>3200+480+1980+3641+250+3030+1288.52+284.4+200+585</f>
        <v>14938.92</v>
      </c>
      <c r="C44" s="424" t="s">
        <v>232</v>
      </c>
      <c r="D44" s="44"/>
      <c r="E44" s="45"/>
      <c r="F44" s="43"/>
      <c r="G44" s="97"/>
      <c r="H44" s="19"/>
      <c r="I44" s="19"/>
      <c r="J44" s="9"/>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row>
    <row r="45" spans="1:114" s="13" customFormat="1" ht="42.75" customHeight="1">
      <c r="A45" s="27" t="s">
        <v>20</v>
      </c>
      <c r="B45" s="194">
        <f>SUM(B44:B44)</f>
        <v>14938.92</v>
      </c>
      <c r="C45" s="424"/>
      <c r="D45" s="44"/>
      <c r="E45" s="45"/>
      <c r="F45" s="74">
        <f>F44</f>
        <v>0</v>
      </c>
      <c r="G45" s="98"/>
      <c r="H45" s="60"/>
      <c r="I45" s="60"/>
      <c r="J45" s="11"/>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s="10" customFormat="1" ht="29.25" customHeight="1">
      <c r="A46" s="44" t="s">
        <v>17</v>
      </c>
      <c r="B46" s="179">
        <f>4500+198+460+3530+580+1090</f>
        <v>10358</v>
      </c>
      <c r="C46" s="424" t="s">
        <v>222</v>
      </c>
      <c r="D46" s="19"/>
      <c r="E46" s="45"/>
      <c r="F46" s="43"/>
      <c r="G46" s="97"/>
      <c r="H46" s="19"/>
      <c r="I46" s="19"/>
      <c r="J46" s="9"/>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row>
    <row r="47" spans="1:114" s="13" customFormat="1" ht="30" customHeight="1">
      <c r="A47" s="27" t="s">
        <v>20</v>
      </c>
      <c r="B47" s="48">
        <f>SUM(B46:B46)</f>
        <v>10358</v>
      </c>
      <c r="C47" s="424"/>
      <c r="D47" s="44"/>
      <c r="E47" s="43"/>
      <c r="F47" s="74"/>
      <c r="G47" s="98"/>
      <c r="H47" s="60"/>
      <c r="I47" s="60"/>
      <c r="J47" s="11"/>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s="10" customFormat="1" ht="32.25" customHeight="1">
      <c r="A48" s="44" t="s">
        <v>18</v>
      </c>
      <c r="B48" s="179">
        <f>140+3200+1990+140+170+430+150+150+150</f>
        <v>6520</v>
      </c>
      <c r="C48" s="424" t="s">
        <v>233</v>
      </c>
      <c r="D48" s="44"/>
      <c r="E48" s="43"/>
      <c r="F48" s="43"/>
      <c r="G48" s="97"/>
      <c r="H48" s="19"/>
      <c r="I48" s="19"/>
      <c r="J48" s="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row>
    <row r="49" spans="1:114" s="10" customFormat="1" ht="19.5" customHeight="1" thickBot="1">
      <c r="A49" s="27" t="s">
        <v>20</v>
      </c>
      <c r="B49" s="48">
        <f>SUM(B48:B48)</f>
        <v>6520</v>
      </c>
      <c r="C49" s="424"/>
      <c r="D49" s="44"/>
      <c r="E49" s="43"/>
      <c r="F49" s="74">
        <f>F48</f>
        <v>0</v>
      </c>
      <c r="G49" s="97"/>
      <c r="H49" s="19"/>
      <c r="I49" s="19"/>
      <c r="J49" s="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row>
    <row r="50" spans="1:114" s="16" customFormat="1" ht="36.75" customHeight="1" thickBot="1">
      <c r="A50" s="195" t="s">
        <v>68</v>
      </c>
      <c r="B50" s="196">
        <f>SUM(B14+B16+B18+B20+B22+B25+B27+B30+B33+B35+B37+B39+B41+B43+B45+B47+B49)</f>
        <v>242939.71</v>
      </c>
      <c r="C50" s="96"/>
      <c r="D50" s="197"/>
      <c r="E50" s="61"/>
      <c r="F50" s="198">
        <f>F41+F49+F18+F45</f>
        <v>6495</v>
      </c>
      <c r="G50" s="199"/>
      <c r="H50" s="57">
        <f>H22</f>
        <v>0</v>
      </c>
      <c r="I50" s="6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row>
    <row r="51" spans="1:114" s="10" customFormat="1" ht="54.75" customHeight="1">
      <c r="A51" s="26" t="s">
        <v>41</v>
      </c>
      <c r="B51" s="179">
        <f>7155+986+2310+5217</f>
        <v>15668</v>
      </c>
      <c r="C51" s="424" t="s">
        <v>256</v>
      </c>
      <c r="D51" s="59">
        <v>617</v>
      </c>
      <c r="E51" s="44" t="s">
        <v>213</v>
      </c>
      <c r="F51" s="43"/>
      <c r="G51" s="97"/>
      <c r="H51" s="60"/>
      <c r="I51" s="60"/>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s="13" customFormat="1" ht="30.75" customHeight="1">
      <c r="A52" s="27" t="s">
        <v>20</v>
      </c>
      <c r="B52" s="48">
        <f>SUM(B51:B51)</f>
        <v>15668</v>
      </c>
      <c r="C52" s="424"/>
      <c r="D52" s="57">
        <f>D51</f>
        <v>617</v>
      </c>
      <c r="E52" s="61"/>
      <c r="F52" s="74">
        <f>F51</f>
        <v>0</v>
      </c>
      <c r="G52" s="98"/>
      <c r="H52" s="60"/>
      <c r="I52" s="60"/>
      <c r="J52" s="11"/>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s="10" customFormat="1" ht="29.25" customHeight="1">
      <c r="A53" s="26" t="s">
        <v>56</v>
      </c>
      <c r="B53" s="47">
        <f>708+5982.8+5430+674+8952+2240+931+700+789.4+426</f>
        <v>26833.2</v>
      </c>
      <c r="C53" s="424" t="s">
        <v>245</v>
      </c>
      <c r="D53" s="59">
        <v>617</v>
      </c>
      <c r="E53" s="62"/>
      <c r="F53" s="43"/>
      <c r="G53" s="97"/>
      <c r="H53" s="60"/>
      <c r="I53" s="60"/>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s="13" customFormat="1" ht="26.25" customHeight="1">
      <c r="A54" s="27" t="s">
        <v>20</v>
      </c>
      <c r="B54" s="48">
        <f>SUM(B53:B53)</f>
        <v>26833.2</v>
      </c>
      <c r="C54" s="424"/>
      <c r="D54" s="57">
        <f>D53</f>
        <v>617</v>
      </c>
      <c r="E54" s="61"/>
      <c r="F54" s="74">
        <f>F53</f>
        <v>0</v>
      </c>
      <c r="G54" s="98"/>
      <c r="H54" s="60"/>
      <c r="I54" s="60"/>
      <c r="J54" s="1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13" customFormat="1" ht="26.25" customHeight="1">
      <c r="A55" s="422" t="s">
        <v>39</v>
      </c>
      <c r="B55" s="425">
        <f>13240+3142.5</f>
        <v>16382.5</v>
      </c>
      <c r="C55" s="40" t="s">
        <v>84</v>
      </c>
      <c r="D55" s="59">
        <f>190+617+100</f>
        <v>907</v>
      </c>
      <c r="E55" s="45" t="s">
        <v>213</v>
      </c>
      <c r="F55" s="74"/>
      <c r="G55" s="98"/>
      <c r="H55" s="60"/>
      <c r="I55" s="60"/>
      <c r="J55" s="1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s="13" customFormat="1" ht="60.75" customHeight="1">
      <c r="A56" s="422"/>
      <c r="B56" s="425"/>
      <c r="C56" s="120" t="s">
        <v>215</v>
      </c>
      <c r="D56" s="166">
        <f>20797+5329.7+21045.33+33235</f>
        <v>80407.03</v>
      </c>
      <c r="E56" s="156" t="s">
        <v>196</v>
      </c>
      <c r="F56" s="43">
        <v>812</v>
      </c>
      <c r="G56" s="97" t="s">
        <v>110</v>
      </c>
      <c r="H56" s="60"/>
      <c r="I56" s="60"/>
      <c r="J56" s="11"/>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s="13" customFormat="1" ht="20.25" customHeight="1">
      <c r="A57" s="27" t="s">
        <v>20</v>
      </c>
      <c r="B57" s="48">
        <f>SUM(B55:B55)</f>
        <v>16382.5</v>
      </c>
      <c r="C57" s="94"/>
      <c r="D57" s="57">
        <f>SUM(D55:D56)</f>
        <v>81314.03</v>
      </c>
      <c r="E57" s="61"/>
      <c r="F57" s="74">
        <f>F56</f>
        <v>812</v>
      </c>
      <c r="G57" s="98"/>
      <c r="H57" s="60"/>
      <c r="I57" s="60"/>
      <c r="J57" s="11"/>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s="10" customFormat="1" ht="63.75" customHeight="1">
      <c r="A58" s="44" t="s">
        <v>38</v>
      </c>
      <c r="B58" s="200">
        <f>5000+5300</f>
        <v>10300</v>
      </c>
      <c r="C58" s="169" t="s">
        <v>235</v>
      </c>
      <c r="D58" s="166">
        <f>190+617+210+100</f>
        <v>1117</v>
      </c>
      <c r="E58" s="78" t="s">
        <v>213</v>
      </c>
      <c r="F58" s="43">
        <f>333.5+464</f>
        <v>797.5</v>
      </c>
      <c r="G58" s="97" t="s">
        <v>110</v>
      </c>
      <c r="H58" s="78"/>
      <c r="I58" s="1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s="13" customFormat="1" ht="16.5" customHeight="1">
      <c r="A59" s="27" t="s">
        <v>20</v>
      </c>
      <c r="B59" s="48">
        <f>SUM(B58:B58)</f>
        <v>10300</v>
      </c>
      <c r="C59" s="94"/>
      <c r="D59" s="57">
        <f>D58</f>
        <v>1117</v>
      </c>
      <c r="E59" s="86"/>
      <c r="F59" s="74">
        <f>F58</f>
        <v>797.5</v>
      </c>
      <c r="G59" s="98"/>
      <c r="H59" s="86"/>
      <c r="I59" s="6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13" customFormat="1" ht="61.5" customHeight="1">
      <c r="A60" s="21" t="s">
        <v>40</v>
      </c>
      <c r="B60" s="47">
        <v>200</v>
      </c>
      <c r="C60" s="40" t="s">
        <v>223</v>
      </c>
      <c r="D60" s="59">
        <f>190+617+100</f>
        <v>907</v>
      </c>
      <c r="E60" s="78" t="s">
        <v>213</v>
      </c>
      <c r="F60" s="43">
        <v>377</v>
      </c>
      <c r="G60" s="97" t="s">
        <v>110</v>
      </c>
      <c r="H60" s="86"/>
      <c r="I60" s="60"/>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s="13" customFormat="1" ht="17.25" customHeight="1">
      <c r="A61" s="27" t="s">
        <v>20</v>
      </c>
      <c r="B61" s="48">
        <f>SUM(B60:B60)</f>
        <v>200</v>
      </c>
      <c r="C61" s="96"/>
      <c r="D61" s="61">
        <f>SUM(D60)</f>
        <v>907</v>
      </c>
      <c r="E61" s="61"/>
      <c r="F61" s="57">
        <f>F60</f>
        <v>377</v>
      </c>
      <c r="G61" s="98"/>
      <c r="H61" s="86"/>
      <c r="I61" s="6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1:114" s="13" customFormat="1" ht="62.25" customHeight="1">
      <c r="A62" s="44" t="s">
        <v>42</v>
      </c>
      <c r="B62" s="179"/>
      <c r="C62" s="40" t="s">
        <v>84</v>
      </c>
      <c r="D62" s="166">
        <f>330+35+617+100</f>
        <v>1082</v>
      </c>
      <c r="E62" s="45" t="s">
        <v>213</v>
      </c>
      <c r="F62" s="59">
        <f>348</f>
        <v>348</v>
      </c>
      <c r="G62" s="97" t="s">
        <v>110</v>
      </c>
      <c r="H62" s="86"/>
      <c r="I62" s="60"/>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row>
    <row r="63" spans="1:114" s="13" customFormat="1" ht="17.25" customHeight="1">
      <c r="A63" s="27" t="s">
        <v>20</v>
      </c>
      <c r="B63" s="48">
        <f>SUM(B62:B62)</f>
        <v>0</v>
      </c>
      <c r="C63" s="96"/>
      <c r="D63" s="57">
        <f>SUM(D62)</f>
        <v>1082</v>
      </c>
      <c r="E63" s="61"/>
      <c r="F63" s="57">
        <f>F62</f>
        <v>348</v>
      </c>
      <c r="G63" s="98"/>
      <c r="H63" s="86"/>
      <c r="I63" s="60"/>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row>
    <row r="64" spans="1:114" s="10" customFormat="1" ht="63" customHeight="1">
      <c r="A64" s="44" t="s">
        <v>29</v>
      </c>
      <c r="B64" s="179">
        <f>1516+3954</f>
        <v>5470</v>
      </c>
      <c r="C64" s="424" t="s">
        <v>216</v>
      </c>
      <c r="D64" s="45">
        <f>190+617+100</f>
        <v>907</v>
      </c>
      <c r="E64" s="59" t="s">
        <v>213</v>
      </c>
      <c r="F64" s="45">
        <f>246.5+1841.5</f>
        <v>2088</v>
      </c>
      <c r="G64" s="97" t="s">
        <v>110</v>
      </c>
      <c r="H64" s="43"/>
      <c r="I64" s="1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row>
    <row r="65" spans="1:114" s="13" customFormat="1" ht="33.75" customHeight="1">
      <c r="A65" s="27" t="s">
        <v>20</v>
      </c>
      <c r="B65" s="194">
        <f>SUM(B64:B64)</f>
        <v>5470</v>
      </c>
      <c r="C65" s="424"/>
      <c r="D65" s="57">
        <f>SUM(D64)</f>
        <v>907</v>
      </c>
      <c r="E65" s="61"/>
      <c r="F65" s="57">
        <f>F64</f>
        <v>2088</v>
      </c>
      <c r="G65" s="98"/>
      <c r="H65" s="74">
        <f>H64</f>
        <v>0</v>
      </c>
      <c r="I65" s="60"/>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row>
    <row r="66" spans="1:114" s="13" customFormat="1" ht="174.75" customHeight="1" hidden="1">
      <c r="A66" s="27" t="s">
        <v>20</v>
      </c>
      <c r="B66" s="48">
        <f>SUM(B64:B65)</f>
        <v>10940</v>
      </c>
      <c r="C66" s="94"/>
      <c r="D66" s="61"/>
      <c r="E66" s="57"/>
      <c r="F66" s="61"/>
      <c r="G66" s="98"/>
      <c r="H66" s="86"/>
      <c r="I66" s="86"/>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row>
    <row r="67" spans="1:114" s="13" customFormat="1" ht="16.5" customHeight="1" hidden="1">
      <c r="A67" s="21" t="s">
        <v>37</v>
      </c>
      <c r="B67" s="47">
        <v>10999</v>
      </c>
      <c r="C67" s="40" t="s">
        <v>52</v>
      </c>
      <c r="D67" s="61"/>
      <c r="E67" s="57"/>
      <c r="F67" s="61"/>
      <c r="G67" s="98"/>
      <c r="H67" s="86"/>
      <c r="I67" s="86"/>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row>
    <row r="68" spans="1:114" s="10" customFormat="1" ht="17.25" customHeight="1" hidden="1">
      <c r="A68" s="21" t="s">
        <v>37</v>
      </c>
      <c r="B68" s="47">
        <v>1219</v>
      </c>
      <c r="C68" s="40" t="s">
        <v>43</v>
      </c>
      <c r="D68" s="45"/>
      <c r="E68" s="57"/>
      <c r="F68" s="45"/>
      <c r="G68" s="97"/>
      <c r="H68" s="78"/>
      <c r="I68" s="1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row>
    <row r="69" spans="1:114" s="13" customFormat="1" ht="16.5" customHeight="1" hidden="1">
      <c r="A69" s="27" t="s">
        <v>20</v>
      </c>
      <c r="B69" s="48">
        <f>SUM(B67:B68)</f>
        <v>12218</v>
      </c>
      <c r="C69" s="94"/>
      <c r="D69" s="61"/>
      <c r="E69" s="57"/>
      <c r="F69" s="61"/>
      <c r="G69" s="98"/>
      <c r="H69" s="86"/>
      <c r="I69" s="86"/>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row>
    <row r="70" spans="1:114" s="13" customFormat="1" ht="16.5" customHeight="1" hidden="1">
      <c r="A70" s="21" t="s">
        <v>30</v>
      </c>
      <c r="B70" s="181">
        <v>3133</v>
      </c>
      <c r="C70" s="40" t="s">
        <v>44</v>
      </c>
      <c r="D70" s="45"/>
      <c r="E70" s="57"/>
      <c r="F70" s="61"/>
      <c r="G70" s="98"/>
      <c r="H70" s="86"/>
      <c r="I70" s="86"/>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row>
    <row r="71" spans="1:114" s="13" customFormat="1" ht="18.75" customHeight="1" hidden="1">
      <c r="A71" s="21" t="s">
        <v>30</v>
      </c>
      <c r="B71" s="181">
        <v>120</v>
      </c>
      <c r="C71" s="40" t="s">
        <v>36</v>
      </c>
      <c r="D71" s="45"/>
      <c r="E71" s="57"/>
      <c r="F71" s="61"/>
      <c r="G71" s="98"/>
      <c r="H71" s="86"/>
      <c r="I71" s="8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row>
    <row r="72" spans="1:114" s="13" customFormat="1" ht="18.75" customHeight="1" hidden="1">
      <c r="A72" s="21" t="s">
        <v>30</v>
      </c>
      <c r="B72" s="181">
        <v>210</v>
      </c>
      <c r="C72" s="40" t="s">
        <v>36</v>
      </c>
      <c r="D72" s="45"/>
      <c r="E72" s="57"/>
      <c r="F72" s="61"/>
      <c r="G72" s="98"/>
      <c r="H72" s="86"/>
      <c r="I72" s="86"/>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row>
    <row r="73" spans="1:114" s="13" customFormat="1" ht="16.5" customHeight="1" hidden="1">
      <c r="A73" s="27" t="s">
        <v>20</v>
      </c>
      <c r="B73" s="196">
        <f>SUM(B70:B72)</f>
        <v>3463</v>
      </c>
      <c r="C73" s="94"/>
      <c r="D73" s="61"/>
      <c r="E73" s="57"/>
      <c r="F73" s="61"/>
      <c r="G73" s="98"/>
      <c r="H73" s="86"/>
      <c r="I73" s="8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row>
    <row r="74" spans="1:114" s="13" customFormat="1" ht="17.25" customHeight="1" hidden="1">
      <c r="A74" s="21" t="s">
        <v>31</v>
      </c>
      <c r="B74" s="201">
        <v>60</v>
      </c>
      <c r="C74" s="40" t="s">
        <v>48</v>
      </c>
      <c r="D74" s="201">
        <v>149639.87</v>
      </c>
      <c r="E74" s="62" t="s">
        <v>47</v>
      </c>
      <c r="F74" s="59"/>
      <c r="G74" s="98"/>
      <c r="H74" s="21"/>
      <c r="I74" s="86"/>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row>
    <row r="75" spans="1:114" s="13" customFormat="1" ht="17.25" customHeight="1" hidden="1">
      <c r="A75" s="21" t="s">
        <v>31</v>
      </c>
      <c r="B75" s="201">
        <v>3951.33</v>
      </c>
      <c r="C75" s="40" t="s">
        <v>51</v>
      </c>
      <c r="D75" s="201"/>
      <c r="E75" s="62"/>
      <c r="F75" s="59"/>
      <c r="G75" s="98"/>
      <c r="H75" s="21"/>
      <c r="I75" s="86"/>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row>
    <row r="76" spans="1:114" s="10" customFormat="1" ht="92.25" customHeight="1">
      <c r="A76" s="44" t="s">
        <v>37</v>
      </c>
      <c r="B76" s="179">
        <f>5803+3820+16500+2432+2570+2365+22716+5421+180</f>
        <v>61807</v>
      </c>
      <c r="C76" s="434" t="s">
        <v>257</v>
      </c>
      <c r="D76" s="45">
        <f>190+617+345+100</f>
        <v>1252</v>
      </c>
      <c r="E76" s="59" t="s">
        <v>213</v>
      </c>
      <c r="F76" s="45">
        <f>652.5+420.5</f>
        <v>1073</v>
      </c>
      <c r="G76" s="97" t="s">
        <v>110</v>
      </c>
      <c r="H76" s="78"/>
      <c r="I76" s="1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row>
    <row r="77" spans="1:114" s="13" customFormat="1" ht="68.25" customHeight="1">
      <c r="A77" s="27" t="s">
        <v>20</v>
      </c>
      <c r="B77" s="48">
        <f>SUM(B76:B76)</f>
        <v>61807</v>
      </c>
      <c r="C77" s="434"/>
      <c r="D77" s="57">
        <f>SUM(D76)</f>
        <v>1252</v>
      </c>
      <c r="E77" s="61"/>
      <c r="F77" s="57">
        <f>F76</f>
        <v>1073</v>
      </c>
      <c r="G77" s="98"/>
      <c r="H77" s="86"/>
      <c r="I77" s="60"/>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row>
    <row r="78" spans="1:114" s="10" customFormat="1" ht="78" customHeight="1">
      <c r="A78" s="44" t="s">
        <v>30</v>
      </c>
      <c r="B78" s="179">
        <f>555+15220+33700</f>
        <v>49475</v>
      </c>
      <c r="C78" s="40" t="s">
        <v>246</v>
      </c>
      <c r="D78" s="45">
        <f>190+617+100</f>
        <v>907</v>
      </c>
      <c r="E78" s="59" t="s">
        <v>213</v>
      </c>
      <c r="F78" s="45">
        <f>304.5+290+246.5</f>
        <v>841</v>
      </c>
      <c r="G78" s="97" t="s">
        <v>110</v>
      </c>
      <c r="H78" s="78"/>
      <c r="I78" s="1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row>
    <row r="79" spans="1:114" s="13" customFormat="1" ht="18" customHeight="1">
      <c r="A79" s="27" t="s">
        <v>20</v>
      </c>
      <c r="B79" s="48">
        <f>SUM(B78:B78)</f>
        <v>49475</v>
      </c>
      <c r="C79" s="96"/>
      <c r="D79" s="57">
        <f>D78</f>
        <v>907</v>
      </c>
      <c r="E79" s="61"/>
      <c r="F79" s="57">
        <f>F78</f>
        <v>841</v>
      </c>
      <c r="G79" s="98"/>
      <c r="H79" s="86"/>
      <c r="I79" s="60"/>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row>
    <row r="80" spans="1:114" s="10" customFormat="1" ht="63" customHeight="1">
      <c r="A80" s="21" t="s">
        <v>57</v>
      </c>
      <c r="B80" s="47"/>
      <c r="C80" s="40" t="s">
        <v>83</v>
      </c>
      <c r="D80" s="45">
        <f>190+617+100</f>
        <v>907</v>
      </c>
      <c r="E80" s="59" t="s">
        <v>213</v>
      </c>
      <c r="F80" s="45">
        <f>275.5+261+14.5</f>
        <v>551</v>
      </c>
      <c r="G80" s="97" t="s">
        <v>110</v>
      </c>
      <c r="H80" s="78"/>
      <c r="I80" s="1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row>
    <row r="81" spans="1:114" s="13" customFormat="1" ht="24" customHeight="1">
      <c r="A81" s="27" t="s">
        <v>20</v>
      </c>
      <c r="B81" s="48">
        <f>SUM(B80:B80)</f>
        <v>0</v>
      </c>
      <c r="C81" s="96"/>
      <c r="D81" s="57">
        <f>SUM(D80)</f>
        <v>907</v>
      </c>
      <c r="E81" s="61"/>
      <c r="F81" s="57">
        <f>F80</f>
        <v>551</v>
      </c>
      <c r="G81" s="98"/>
      <c r="H81" s="86"/>
      <c r="I81" s="60"/>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row>
    <row r="82" spans="1:114" s="13" customFormat="1" ht="17.25" customHeight="1">
      <c r="A82" s="422" t="s">
        <v>31</v>
      </c>
      <c r="B82" s="425">
        <f>6531.84+1507.7+17806.6+2130.39+1184.8+2456.26+2500+500+5792.8+340+796+2746.4+200</f>
        <v>44492.79</v>
      </c>
      <c r="C82" s="40" t="s">
        <v>83</v>
      </c>
      <c r="D82" s="430">
        <f>190+617+100</f>
        <v>907</v>
      </c>
      <c r="E82" s="435" t="s">
        <v>213</v>
      </c>
      <c r="F82" s="57"/>
      <c r="G82" s="98"/>
      <c r="H82" s="86"/>
      <c r="I82" s="60"/>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row>
    <row r="83" spans="1:114" s="10" customFormat="1" ht="106.5" customHeight="1">
      <c r="A83" s="422"/>
      <c r="B83" s="425"/>
      <c r="C83" s="424" t="s">
        <v>258</v>
      </c>
      <c r="D83" s="430"/>
      <c r="E83" s="435"/>
      <c r="F83" s="45">
        <v>1087.5</v>
      </c>
      <c r="G83" s="97" t="s">
        <v>110</v>
      </c>
      <c r="H83" s="78"/>
      <c r="I83" s="1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row>
    <row r="84" spans="1:114" s="13" customFormat="1" ht="76.5" customHeight="1">
      <c r="A84" s="27" t="s">
        <v>20</v>
      </c>
      <c r="B84" s="48">
        <f>SUM(B82:B82)</f>
        <v>44492.79</v>
      </c>
      <c r="C84" s="424"/>
      <c r="D84" s="57">
        <f>D83+D82</f>
        <v>907</v>
      </c>
      <c r="E84" s="61"/>
      <c r="F84" s="57">
        <f>F83</f>
        <v>1087.5</v>
      </c>
      <c r="G84" s="98"/>
      <c r="H84" s="86"/>
      <c r="I84" s="60"/>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row>
    <row r="85" spans="1:114" s="13" customFormat="1" ht="30.75" customHeight="1">
      <c r="A85" s="422" t="s">
        <v>58</v>
      </c>
      <c r="B85" s="439"/>
      <c r="C85" s="202" t="s">
        <v>83</v>
      </c>
      <c r="D85" s="59">
        <f>190+617+100</f>
        <v>907</v>
      </c>
      <c r="E85" s="45" t="s">
        <v>213</v>
      </c>
      <c r="F85" s="57"/>
      <c r="G85" s="98"/>
      <c r="H85" s="86"/>
      <c r="I85" s="60"/>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row>
    <row r="86" spans="1:114" s="13" customFormat="1" ht="62.25" customHeight="1">
      <c r="A86" s="422"/>
      <c r="B86" s="439"/>
      <c r="C86" s="40"/>
      <c r="D86" s="201">
        <v>57600</v>
      </c>
      <c r="E86" s="156" t="s">
        <v>196</v>
      </c>
      <c r="F86" s="59">
        <f>261+362.5</f>
        <v>623.5</v>
      </c>
      <c r="G86" s="97" t="s">
        <v>110</v>
      </c>
      <c r="H86" s="21"/>
      <c r="I86" s="86"/>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row>
    <row r="87" spans="1:114" s="13" customFormat="1" ht="16.5" customHeight="1">
      <c r="A87" s="27" t="s">
        <v>20</v>
      </c>
      <c r="B87" s="203">
        <f>B86</f>
        <v>0</v>
      </c>
      <c r="C87" s="94"/>
      <c r="D87" s="203">
        <f>SUM(D85:D86)</f>
        <v>58507</v>
      </c>
      <c r="E87" s="57"/>
      <c r="F87" s="61">
        <f>F86</f>
        <v>623.5</v>
      </c>
      <c r="G87" s="98"/>
      <c r="H87" s="86"/>
      <c r="I87" s="86"/>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row>
    <row r="88" spans="1:114" s="13" customFormat="1" ht="22.5" customHeight="1">
      <c r="A88" s="422" t="s">
        <v>33</v>
      </c>
      <c r="B88" s="438">
        <f>2817.12+7270</f>
        <v>10087.119999999999</v>
      </c>
      <c r="C88" s="202" t="s">
        <v>83</v>
      </c>
      <c r="D88" s="201">
        <f>617+100</f>
        <v>717</v>
      </c>
      <c r="E88" s="45" t="s">
        <v>213</v>
      </c>
      <c r="F88" s="61"/>
      <c r="G88" s="98"/>
      <c r="H88" s="86"/>
      <c r="I88" s="86"/>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row>
    <row r="89" spans="1:114" s="13" customFormat="1" ht="60.75" customHeight="1">
      <c r="A89" s="422"/>
      <c r="B89" s="438"/>
      <c r="C89" s="40" t="s">
        <v>248</v>
      </c>
      <c r="D89" s="181">
        <v>7999.68</v>
      </c>
      <c r="E89" s="44" t="s">
        <v>217</v>
      </c>
      <c r="F89" s="59">
        <v>319</v>
      </c>
      <c r="G89" s="97" t="s">
        <v>110</v>
      </c>
      <c r="H89" s="21"/>
      <c r="I89" s="86"/>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row>
    <row r="90" spans="1:114" s="13" customFormat="1" ht="16.5" customHeight="1">
      <c r="A90" s="27" t="s">
        <v>20</v>
      </c>
      <c r="B90" s="203">
        <f>SUM(B88)</f>
        <v>10087.119999999999</v>
      </c>
      <c r="C90" s="94"/>
      <c r="D90" s="203">
        <f>SUM(D88:D89)</f>
        <v>8716.68</v>
      </c>
      <c r="E90" s="57"/>
      <c r="F90" s="61">
        <f>F89</f>
        <v>319</v>
      </c>
      <c r="G90" s="98"/>
      <c r="H90" s="86"/>
      <c r="I90" s="86"/>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1:114" s="13" customFormat="1" ht="58.5" customHeight="1">
      <c r="A91" s="422" t="s">
        <v>45</v>
      </c>
      <c r="B91" s="181"/>
      <c r="C91" s="40" t="s">
        <v>212</v>
      </c>
      <c r="D91" s="166">
        <v>50630</v>
      </c>
      <c r="E91" s="156" t="s">
        <v>196</v>
      </c>
      <c r="F91" s="59">
        <f>362.5+377+406</f>
        <v>1145.5</v>
      </c>
      <c r="G91" s="97" t="s">
        <v>110</v>
      </c>
      <c r="H91" s="86"/>
      <c r="I91" s="86"/>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1:114" s="13" customFormat="1" ht="31.5" customHeight="1">
      <c r="A92" s="422"/>
      <c r="B92" s="166">
        <v>90</v>
      </c>
      <c r="C92" s="40" t="s">
        <v>224</v>
      </c>
      <c r="D92" s="166">
        <f>190+617+100</f>
        <v>907</v>
      </c>
      <c r="E92" s="156" t="s">
        <v>213</v>
      </c>
      <c r="F92" s="59"/>
      <c r="G92" s="97"/>
      <c r="H92" s="86"/>
      <c r="I92" s="86"/>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1:114" s="13" customFormat="1" ht="16.5" customHeight="1">
      <c r="A93" s="27" t="s">
        <v>20</v>
      </c>
      <c r="B93" s="196">
        <f>B92</f>
        <v>90</v>
      </c>
      <c r="C93" s="94"/>
      <c r="D93" s="61">
        <f>SUM(D91:D92)</f>
        <v>51537</v>
      </c>
      <c r="E93" s="57"/>
      <c r="F93" s="61">
        <f>F92+F91</f>
        <v>1145.5</v>
      </c>
      <c r="G93" s="98"/>
      <c r="H93" s="86"/>
      <c r="I93" s="86"/>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1:114" s="13" customFormat="1" ht="68.25" customHeight="1">
      <c r="A94" s="44" t="s">
        <v>59</v>
      </c>
      <c r="B94" s="181">
        <f>540+10971.8</f>
        <v>11511.8</v>
      </c>
      <c r="C94" s="40" t="s">
        <v>259</v>
      </c>
      <c r="D94" s="181">
        <f>190+617+120+100</f>
        <v>1027</v>
      </c>
      <c r="E94" s="44" t="s">
        <v>213</v>
      </c>
      <c r="F94" s="59">
        <f>710.5+319</f>
        <v>1029.5</v>
      </c>
      <c r="G94" s="97" t="s">
        <v>110</v>
      </c>
      <c r="H94" s="86"/>
      <c r="I94" s="86"/>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1:114" s="13" customFormat="1" ht="16.5" customHeight="1">
      <c r="A95" s="27" t="s">
        <v>20</v>
      </c>
      <c r="B95" s="196">
        <f>B94</f>
        <v>11511.8</v>
      </c>
      <c r="C95" s="94"/>
      <c r="D95" s="61">
        <f>D94</f>
        <v>1027</v>
      </c>
      <c r="E95" s="59"/>
      <c r="F95" s="61">
        <f>F94</f>
        <v>1029.5</v>
      </c>
      <c r="G95" s="98"/>
      <c r="H95" s="86"/>
      <c r="I95" s="86"/>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1:114" s="13" customFormat="1" ht="60" customHeight="1">
      <c r="A96" s="21" t="s">
        <v>50</v>
      </c>
      <c r="B96" s="181">
        <v>12200</v>
      </c>
      <c r="C96" s="40" t="s">
        <v>243</v>
      </c>
      <c r="D96" s="181">
        <f>617+100</f>
        <v>717</v>
      </c>
      <c r="E96" s="44" t="s">
        <v>213</v>
      </c>
      <c r="F96" s="59">
        <v>174</v>
      </c>
      <c r="G96" s="97" t="s">
        <v>110</v>
      </c>
      <c r="H96" s="86"/>
      <c r="I96" s="86"/>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1:114" s="13" customFormat="1" ht="16.5" customHeight="1">
      <c r="A97" s="27" t="s">
        <v>20</v>
      </c>
      <c r="B97" s="196">
        <f>SUM(B96)</f>
        <v>12200</v>
      </c>
      <c r="C97" s="94"/>
      <c r="D97" s="61">
        <f>D96</f>
        <v>717</v>
      </c>
      <c r="E97" s="59"/>
      <c r="F97" s="61">
        <f>F96</f>
        <v>174</v>
      </c>
      <c r="G97" s="98"/>
      <c r="H97" s="86"/>
      <c r="I97" s="8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row>
    <row r="98" spans="1:114" s="13" customFormat="1" ht="75.75" customHeight="1">
      <c r="A98" s="44" t="s">
        <v>60</v>
      </c>
      <c r="B98" s="181">
        <f>7980+2050+4044</f>
        <v>14074</v>
      </c>
      <c r="C98" s="40" t="s">
        <v>260</v>
      </c>
      <c r="D98" s="181">
        <f>190+617+100</f>
        <v>907</v>
      </c>
      <c r="E98" s="44" t="s">
        <v>213</v>
      </c>
      <c r="F98" s="59">
        <f>246.5+319</f>
        <v>565.5</v>
      </c>
      <c r="G98" s="97" t="s">
        <v>110</v>
      </c>
      <c r="H98" s="86"/>
      <c r="I98" s="86"/>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row>
    <row r="99" spans="1:114" s="13" customFormat="1" ht="20.25" customHeight="1">
      <c r="A99" s="27" t="s">
        <v>20</v>
      </c>
      <c r="B99" s="196">
        <f>SUM(B98)</f>
        <v>14074</v>
      </c>
      <c r="C99" s="94"/>
      <c r="D99" s="61">
        <f>D98</f>
        <v>907</v>
      </c>
      <c r="E99" s="59"/>
      <c r="F99" s="61">
        <f>F98</f>
        <v>565.5</v>
      </c>
      <c r="G99" s="98"/>
      <c r="H99" s="86"/>
      <c r="I99" s="86"/>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row>
    <row r="100" spans="1:114" s="13" customFormat="1" ht="58.5" customHeight="1">
      <c r="A100" s="21" t="s">
        <v>61</v>
      </c>
      <c r="B100" s="166"/>
      <c r="C100" s="40" t="s">
        <v>36</v>
      </c>
      <c r="D100" s="166">
        <f>190+617+100</f>
        <v>907</v>
      </c>
      <c r="E100" s="44" t="s">
        <v>213</v>
      </c>
      <c r="F100" s="59">
        <v>319</v>
      </c>
      <c r="G100" s="97" t="s">
        <v>110</v>
      </c>
      <c r="H100" s="86"/>
      <c r="I100" s="86"/>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row>
    <row r="101" spans="1:114" s="13" customFormat="1" ht="16.5" customHeight="1">
      <c r="A101" s="27" t="s">
        <v>20</v>
      </c>
      <c r="B101" s="196">
        <f>B100</f>
        <v>0</v>
      </c>
      <c r="C101" s="94"/>
      <c r="D101" s="61">
        <f>D100</f>
        <v>907</v>
      </c>
      <c r="E101" s="59"/>
      <c r="F101" s="61">
        <f>F100</f>
        <v>319</v>
      </c>
      <c r="G101" s="98"/>
      <c r="H101" s="86"/>
      <c r="I101" s="86"/>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row>
    <row r="102" spans="1:114" s="13" customFormat="1" ht="63" customHeight="1">
      <c r="A102" s="422" t="s">
        <v>62</v>
      </c>
      <c r="B102" s="438">
        <f>11005+8600+722</f>
        <v>20327</v>
      </c>
      <c r="C102" s="120" t="s">
        <v>249</v>
      </c>
      <c r="D102" s="61"/>
      <c r="E102" s="59"/>
      <c r="F102" s="61"/>
      <c r="G102" s="98"/>
      <c r="H102" s="86"/>
      <c r="I102" s="86"/>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1:114" s="13" customFormat="1" ht="60" customHeight="1">
      <c r="A103" s="422"/>
      <c r="B103" s="438"/>
      <c r="C103" s="40" t="s">
        <v>84</v>
      </c>
      <c r="D103" s="181">
        <f>190+617+100</f>
        <v>907</v>
      </c>
      <c r="E103" s="44" t="s">
        <v>213</v>
      </c>
      <c r="F103" s="59">
        <v>1566</v>
      </c>
      <c r="G103" s="97" t="s">
        <v>110</v>
      </c>
      <c r="H103" s="86"/>
      <c r="I103" s="86"/>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1:114" s="13" customFormat="1" ht="16.5" customHeight="1">
      <c r="A104" s="27" t="s">
        <v>20</v>
      </c>
      <c r="B104" s="196">
        <f>SUM(B102)</f>
        <v>20327</v>
      </c>
      <c r="C104" s="94"/>
      <c r="D104" s="61">
        <f>SUM(D103)</f>
        <v>907</v>
      </c>
      <c r="E104" s="57"/>
      <c r="F104" s="61">
        <f>F103</f>
        <v>1566</v>
      </c>
      <c r="G104" s="98"/>
      <c r="H104" s="86"/>
      <c r="I104" s="86"/>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1:114" s="13" customFormat="1" ht="59.25" customHeight="1">
      <c r="A105" s="21" t="s">
        <v>46</v>
      </c>
      <c r="B105" s="181">
        <v>12843.8</v>
      </c>
      <c r="C105" s="40" t="s">
        <v>251</v>
      </c>
      <c r="D105" s="181">
        <f>617+190+100</f>
        <v>907</v>
      </c>
      <c r="E105" s="44" t="s">
        <v>213</v>
      </c>
      <c r="F105" s="59">
        <v>739.5</v>
      </c>
      <c r="G105" s="97" t="s">
        <v>110</v>
      </c>
      <c r="H105" s="86"/>
      <c r="I105" s="86"/>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row>
    <row r="106" spans="1:114" s="13" customFormat="1" ht="16.5" customHeight="1">
      <c r="A106" s="27" t="s">
        <v>20</v>
      </c>
      <c r="B106" s="196">
        <f>B105</f>
        <v>12843.8</v>
      </c>
      <c r="C106" s="94"/>
      <c r="D106" s="61">
        <f>D105</f>
        <v>907</v>
      </c>
      <c r="E106" s="57"/>
      <c r="F106" s="61">
        <f>F105</f>
        <v>739.5</v>
      </c>
      <c r="G106" s="98"/>
      <c r="H106" s="86"/>
      <c r="I106" s="86"/>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row>
    <row r="107" spans="1:114" s="13" customFormat="1" ht="62.25" customHeight="1">
      <c r="A107" s="21" t="s">
        <v>63</v>
      </c>
      <c r="B107" s="181"/>
      <c r="C107" s="40" t="s">
        <v>84</v>
      </c>
      <c r="D107" s="181">
        <f>190+617+100</f>
        <v>907</v>
      </c>
      <c r="E107" s="44" t="s">
        <v>213</v>
      </c>
      <c r="F107" s="59">
        <f>348+507.5</f>
        <v>855.5</v>
      </c>
      <c r="G107" s="97" t="s">
        <v>110</v>
      </c>
      <c r="H107" s="86"/>
      <c r="I107" s="86"/>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row>
    <row r="108" spans="1:114" s="13" customFormat="1" ht="16.5" customHeight="1">
      <c r="A108" s="27" t="s">
        <v>20</v>
      </c>
      <c r="B108" s="196">
        <f>B107</f>
        <v>0</v>
      </c>
      <c r="C108" s="94"/>
      <c r="D108" s="61">
        <f>SUM(D107)</f>
        <v>907</v>
      </c>
      <c r="E108" s="57"/>
      <c r="F108" s="61">
        <f>F107</f>
        <v>855.5</v>
      </c>
      <c r="G108" s="98"/>
      <c r="H108" s="86"/>
      <c r="I108" s="8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1:114" s="13" customFormat="1" ht="43.5" customHeight="1">
      <c r="A109" s="21" t="s">
        <v>53</v>
      </c>
      <c r="B109" s="181"/>
      <c r="C109" s="40"/>
      <c r="D109" s="181"/>
      <c r="E109" s="62"/>
      <c r="F109" s="59"/>
      <c r="G109" s="98"/>
      <c r="H109" s="86"/>
      <c r="I109" s="86"/>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1:114" s="13" customFormat="1" ht="16.5" customHeight="1">
      <c r="A110" s="27" t="s">
        <v>20</v>
      </c>
      <c r="B110" s="196">
        <f>B109</f>
        <v>0</v>
      </c>
      <c r="C110" s="94"/>
      <c r="D110" s="60"/>
      <c r="E110" s="57"/>
      <c r="F110" s="61"/>
      <c r="G110" s="98"/>
      <c r="H110" s="86"/>
      <c r="I110" s="86"/>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1:114" s="13" customFormat="1" ht="19.5" customHeight="1">
      <c r="A111" s="21" t="s">
        <v>54</v>
      </c>
      <c r="B111" s="181"/>
      <c r="C111" s="40"/>
      <c r="D111" s="181"/>
      <c r="E111" s="62"/>
      <c r="F111" s="59"/>
      <c r="G111" s="98"/>
      <c r="H111" s="86"/>
      <c r="I111" s="86"/>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1:114" s="13" customFormat="1" ht="16.5" customHeight="1">
      <c r="A112" s="27" t="s">
        <v>20</v>
      </c>
      <c r="B112" s="196">
        <f>B111</f>
        <v>0</v>
      </c>
      <c r="C112" s="94"/>
      <c r="D112" s="60"/>
      <c r="E112" s="57"/>
      <c r="F112" s="61"/>
      <c r="G112" s="98"/>
      <c r="H112" s="86"/>
      <c r="I112" s="86"/>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1:114" s="13" customFormat="1" ht="19.5" customHeight="1">
      <c r="A113" s="21" t="s">
        <v>66</v>
      </c>
      <c r="B113" s="181"/>
      <c r="C113" s="40"/>
      <c r="D113" s="181"/>
      <c r="E113" s="62"/>
      <c r="F113" s="59"/>
      <c r="G113" s="98"/>
      <c r="H113" s="86"/>
      <c r="I113" s="8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1:114" s="13" customFormat="1" ht="16.5" customHeight="1">
      <c r="A114" s="27" t="s">
        <v>20</v>
      </c>
      <c r="B114" s="196">
        <f>B113</f>
        <v>0</v>
      </c>
      <c r="C114" s="94"/>
      <c r="D114" s="60"/>
      <c r="E114" s="57"/>
      <c r="F114" s="61"/>
      <c r="G114" s="98"/>
      <c r="H114" s="86"/>
      <c r="I114" s="8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1:114" s="13" customFormat="1" ht="19.5" customHeight="1">
      <c r="A115" s="21" t="s">
        <v>67</v>
      </c>
      <c r="B115" s="181"/>
      <c r="C115" s="40"/>
      <c r="D115" s="181"/>
      <c r="E115" s="62"/>
      <c r="F115" s="59"/>
      <c r="G115" s="98"/>
      <c r="H115" s="86"/>
      <c r="I115" s="86"/>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1:114" s="13" customFormat="1" ht="16.5" customHeight="1">
      <c r="A116" s="27" t="s">
        <v>20</v>
      </c>
      <c r="B116" s="196">
        <f>SUM(B115)</f>
        <v>0</v>
      </c>
      <c r="C116" s="94"/>
      <c r="D116" s="60"/>
      <c r="E116" s="57"/>
      <c r="F116" s="61"/>
      <c r="G116" s="98"/>
      <c r="H116" s="86"/>
      <c r="I116" s="86"/>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1:114" s="13" customFormat="1" ht="45.75" customHeight="1">
      <c r="A117" s="21" t="s">
        <v>64</v>
      </c>
      <c r="B117" s="181">
        <f>30.87+6300</f>
        <v>6330.87</v>
      </c>
      <c r="C117" s="40" t="s">
        <v>261</v>
      </c>
      <c r="D117" s="181"/>
      <c r="E117" s="62"/>
      <c r="F117" s="59"/>
      <c r="G117" s="98"/>
      <c r="H117" s="86"/>
      <c r="I117" s="86"/>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row>
    <row r="118" spans="1:114" s="13" customFormat="1" ht="18.75" customHeight="1">
      <c r="A118" s="27" t="s">
        <v>20</v>
      </c>
      <c r="B118" s="196">
        <f>B117</f>
        <v>6330.87</v>
      </c>
      <c r="C118" s="94"/>
      <c r="D118" s="60"/>
      <c r="E118" s="57"/>
      <c r="F118" s="61"/>
      <c r="G118" s="98"/>
      <c r="H118" s="86"/>
      <c r="I118" s="86"/>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1:114" s="13" customFormat="1" ht="37.5" customHeight="1">
      <c r="A119" s="21" t="s">
        <v>56</v>
      </c>
      <c r="B119" s="181"/>
      <c r="C119" s="40"/>
      <c r="D119" s="181"/>
      <c r="E119" s="62"/>
      <c r="F119" s="59"/>
      <c r="G119" s="98"/>
      <c r="H119" s="86"/>
      <c r="I119" s="86"/>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1:114" s="13" customFormat="1" ht="37.5" customHeight="1">
      <c r="A120" s="180" t="s">
        <v>20</v>
      </c>
      <c r="B120" s="181"/>
      <c r="C120" s="40"/>
      <c r="D120" s="181"/>
      <c r="E120" s="62"/>
      <c r="F120" s="59"/>
      <c r="G120" s="98"/>
      <c r="H120" s="86"/>
      <c r="I120" s="86"/>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1:114" s="13" customFormat="1" ht="97.5" customHeight="1">
      <c r="A121" s="21" t="s">
        <v>111</v>
      </c>
      <c r="B121" s="181"/>
      <c r="C121" s="40"/>
      <c r="D121" s="181"/>
      <c r="E121" s="62"/>
      <c r="F121" s="59"/>
      <c r="G121" s="98"/>
      <c r="H121" s="43">
        <v>30072</v>
      </c>
      <c r="I121" s="97" t="s">
        <v>252</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1:114" s="13" customFormat="1" ht="68.25" customHeight="1" thickBot="1">
      <c r="A122" s="27" t="s">
        <v>20</v>
      </c>
      <c r="B122" s="48"/>
      <c r="C122" s="94"/>
      <c r="D122" s="86"/>
      <c r="E122" s="57"/>
      <c r="F122" s="61"/>
      <c r="G122" s="98"/>
      <c r="H122" s="74">
        <f>H121</f>
        <v>30072</v>
      </c>
      <c r="I122" s="86"/>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1:114" s="18" customFormat="1" ht="77.25" customHeight="1" thickBot="1">
      <c r="A123" s="195" t="s">
        <v>70</v>
      </c>
      <c r="B123" s="196">
        <f>SUM(B52+B54+B57+B59+B61+B63+B65+B77+B79+B81+B84+B87+B90+B93+B95+B97+B99+B101+B104+B106+B108+B110+B112+B114+B116+B118+B122)</f>
        <v>318093.08</v>
      </c>
      <c r="C123" s="196"/>
      <c r="D123" s="196">
        <f>SUM(D52+D54+D57+D59+D61+D63+D65+D77+D79+D81+D84+D87+D90+D93+D95+D97+D99+D101+D104+D106+D108+D110+D112+D114+D116+D118+D122)</f>
        <v>215573.71</v>
      </c>
      <c r="E123" s="196"/>
      <c r="F123" s="196">
        <f>F54+F59+F61+F63+F65+F77+F79+H109+F87+F90+F93+F95+F97+F99+F101+F104+F106+F108+F122+F57+F81+F84</f>
        <v>15312</v>
      </c>
      <c r="G123" s="204"/>
      <c r="H123" s="196">
        <f>H65+H122</f>
        <v>30072</v>
      </c>
      <c r="I123" s="196"/>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187"/>
      <c r="CU123" s="187"/>
      <c r="CV123" s="187"/>
      <c r="CW123" s="187"/>
      <c r="CX123" s="187"/>
      <c r="CY123" s="187"/>
      <c r="CZ123" s="187"/>
      <c r="DA123" s="187"/>
      <c r="DB123" s="187"/>
      <c r="DC123" s="187"/>
      <c r="DD123" s="187"/>
      <c r="DE123" s="187"/>
      <c r="DF123" s="187"/>
      <c r="DG123" s="187"/>
      <c r="DH123" s="187"/>
      <c r="DI123" s="187"/>
      <c r="DJ123" s="187"/>
    </row>
    <row r="124" spans="1:114" s="18" customFormat="1" ht="93.75" customHeight="1" thickBot="1">
      <c r="A124" s="27" t="s">
        <v>69</v>
      </c>
      <c r="B124" s="205">
        <f>SUM(B50+B123)</f>
        <v>561032.79</v>
      </c>
      <c r="C124" s="205"/>
      <c r="D124" s="205">
        <f>D123+D50</f>
        <v>215573.71</v>
      </c>
      <c r="E124" s="205"/>
      <c r="F124" s="205">
        <f>F50+F123</f>
        <v>21807</v>
      </c>
      <c r="G124" s="206"/>
      <c r="H124" s="205">
        <f>H50+H123</f>
        <v>30072</v>
      </c>
      <c r="I124" s="205"/>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row>
    <row r="125" spans="1:114" s="8" customFormat="1" ht="24" customHeight="1">
      <c r="A125" s="90" t="s">
        <v>93</v>
      </c>
      <c r="B125" s="90"/>
      <c r="C125" s="90"/>
      <c r="D125" s="88"/>
      <c r="E125" s="89"/>
      <c r="F125" s="88"/>
      <c r="G125" s="88"/>
      <c r="H125" s="71"/>
      <c r="I125" s="71"/>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row>
    <row r="126" spans="1:114" s="8" customFormat="1" ht="24" customHeight="1">
      <c r="A126" s="89" t="s">
        <v>94</v>
      </c>
      <c r="B126" s="89"/>
      <c r="C126" s="89"/>
      <c r="D126" s="88"/>
      <c r="E126" s="89"/>
      <c r="F126" s="88"/>
      <c r="G126" s="89" t="s">
        <v>95</v>
      </c>
      <c r="H126" s="71"/>
      <c r="I126" s="71"/>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row>
    <row r="127" spans="1:9" ht="15.75" customHeight="1">
      <c r="A127" s="90"/>
      <c r="B127" s="90"/>
      <c r="C127" s="91"/>
      <c r="D127" s="92"/>
      <c r="E127" s="93"/>
      <c r="F127" s="90"/>
      <c r="G127" s="90"/>
      <c r="H127" s="73"/>
      <c r="I127" s="73"/>
    </row>
    <row r="128" spans="1:9" ht="11.25" customHeight="1">
      <c r="A128" s="90"/>
      <c r="B128" s="90"/>
      <c r="C128" s="91"/>
      <c r="D128" s="92"/>
      <c r="E128" s="93"/>
      <c r="F128" s="90"/>
      <c r="G128" s="90"/>
      <c r="H128" s="73"/>
      <c r="I128" s="73"/>
    </row>
    <row r="129" spans="1:9" ht="20.25" customHeight="1">
      <c r="A129" s="90" t="s">
        <v>35</v>
      </c>
      <c r="B129" s="90"/>
      <c r="C129" s="91"/>
      <c r="D129" s="92"/>
      <c r="E129" s="93"/>
      <c r="F129" s="90"/>
      <c r="G129" s="90" t="s">
        <v>106</v>
      </c>
      <c r="H129" s="73"/>
      <c r="I129" s="73"/>
    </row>
    <row r="130" spans="1:9" ht="20.25" customHeight="1">
      <c r="A130" s="90"/>
      <c r="B130" s="90"/>
      <c r="C130" s="91"/>
      <c r="D130" s="92"/>
      <c r="E130" s="93"/>
      <c r="F130" s="90"/>
      <c r="G130" s="90"/>
      <c r="H130" s="73"/>
      <c r="I130" s="73"/>
    </row>
    <row r="131" spans="1:9" ht="14.25" customHeight="1">
      <c r="A131" s="91"/>
      <c r="B131" s="92"/>
      <c r="C131" s="91"/>
      <c r="D131" s="92"/>
      <c r="E131" s="90"/>
      <c r="F131" s="92"/>
      <c r="G131" s="92"/>
      <c r="H131" s="73"/>
      <c r="I131" s="73"/>
    </row>
    <row r="132" spans="1:9" ht="20.25" customHeight="1">
      <c r="A132" s="91" t="s">
        <v>228</v>
      </c>
      <c r="B132" s="92"/>
      <c r="C132" s="91"/>
      <c r="D132" s="92"/>
      <c r="E132" s="90"/>
      <c r="F132" s="92"/>
      <c r="G132" s="92"/>
      <c r="H132" s="73"/>
      <c r="I132" s="73"/>
    </row>
    <row r="133" spans="1:9" ht="20.25" customHeight="1">
      <c r="A133" s="91" t="s">
        <v>229</v>
      </c>
      <c r="B133" s="92"/>
      <c r="C133" s="91"/>
      <c r="D133" s="92"/>
      <c r="E133" s="90"/>
      <c r="F133" s="92"/>
      <c r="G133" s="92"/>
      <c r="H133" s="73"/>
      <c r="I133" s="73"/>
    </row>
    <row r="134" spans="1:9" ht="12" customHeight="1">
      <c r="A134" s="2"/>
      <c r="B134" s="2"/>
      <c r="C134" s="6"/>
      <c r="D134" s="2"/>
      <c r="E134" s="2"/>
      <c r="F134" s="2"/>
      <c r="G134" s="2"/>
      <c r="H134" s="2"/>
      <c r="I134" s="2"/>
    </row>
    <row r="135" spans="1:9" ht="15">
      <c r="A135" s="2"/>
      <c r="B135" s="2"/>
      <c r="C135" s="6"/>
      <c r="D135" s="2"/>
      <c r="E135" s="2"/>
      <c r="F135" s="2"/>
      <c r="G135" s="2"/>
      <c r="H135" s="2"/>
      <c r="I135" s="2"/>
    </row>
    <row r="136" spans="1:9" ht="15">
      <c r="A136" s="3"/>
      <c r="B136" s="2"/>
      <c r="C136" s="6"/>
      <c r="D136" s="2"/>
      <c r="E136" s="2"/>
      <c r="F136" s="2"/>
      <c r="G136" s="2"/>
      <c r="H136" s="2"/>
      <c r="I136" s="2"/>
    </row>
  </sheetData>
  <sheetProtection/>
  <mergeCells count="51">
    <mergeCell ref="E23:E24"/>
    <mergeCell ref="F23:F24"/>
    <mergeCell ref="G4:I4"/>
    <mergeCell ref="A5:I5"/>
    <mergeCell ref="A6:I6"/>
    <mergeCell ref="A7:I7"/>
    <mergeCell ref="A8:A11"/>
    <mergeCell ref="B8:E8"/>
    <mergeCell ref="F8:I8"/>
    <mergeCell ref="B9:C10"/>
    <mergeCell ref="H9:I10"/>
    <mergeCell ref="A12:A13"/>
    <mergeCell ref="B12:B13"/>
    <mergeCell ref="C12:C13"/>
    <mergeCell ref="D9:E10"/>
    <mergeCell ref="F9:G10"/>
    <mergeCell ref="G23:G24"/>
    <mergeCell ref="H23:H24"/>
    <mergeCell ref="I23:I24"/>
    <mergeCell ref="A28:A29"/>
    <mergeCell ref="B28:B29"/>
    <mergeCell ref="C28:C29"/>
    <mergeCell ref="A23:A24"/>
    <mergeCell ref="B23:B24"/>
    <mergeCell ref="C23:C24"/>
    <mergeCell ref="D23:D24"/>
    <mergeCell ref="A55:A56"/>
    <mergeCell ref="B55:B56"/>
    <mergeCell ref="C64:C65"/>
    <mergeCell ref="A31:A32"/>
    <mergeCell ref="B31:B32"/>
    <mergeCell ref="C31:C33"/>
    <mergeCell ref="C36:C37"/>
    <mergeCell ref="C44:C45"/>
    <mergeCell ref="C46:C47"/>
    <mergeCell ref="D82:D83"/>
    <mergeCell ref="E82:E83"/>
    <mergeCell ref="C83:C84"/>
    <mergeCell ref="C48:C49"/>
    <mergeCell ref="C51:C52"/>
    <mergeCell ref="C53:C54"/>
    <mergeCell ref="A91:A92"/>
    <mergeCell ref="A102:A103"/>
    <mergeCell ref="B102:B103"/>
    <mergeCell ref="C76:C77"/>
    <mergeCell ref="A82:A83"/>
    <mergeCell ref="B82:B83"/>
    <mergeCell ref="A85:A86"/>
    <mergeCell ref="B85:B86"/>
    <mergeCell ref="A88:A89"/>
    <mergeCell ref="B88:B89"/>
  </mergeCells>
  <printOptions/>
  <pageMargins left="0.7874015748031497" right="0.7874015748031497" top="0.3937007874015748" bottom="0.3937007874015748" header="0.31496062992125984" footer="0.31496062992125984"/>
  <pageSetup horizontalDpi="600" verticalDpi="600" orientation="portrait" paperSize="9" scale="45" r:id="rId1"/>
</worksheet>
</file>

<file path=xl/worksheets/sheet11.xml><?xml version="1.0" encoding="utf-8"?>
<worksheet xmlns="http://schemas.openxmlformats.org/spreadsheetml/2006/main" xmlns:r="http://schemas.openxmlformats.org/officeDocument/2006/relationships">
  <dimension ref="A1:K136"/>
  <sheetViews>
    <sheetView showGridLines="0" view="pageBreakPreview" zoomScale="71" zoomScaleNormal="75" zoomScaleSheetLayoutView="71" zoomScalePageLayoutView="0" workbookViewId="0" topLeftCell="A1">
      <selection activeCell="C28" sqref="C28:C29"/>
    </sheetView>
  </sheetViews>
  <sheetFormatPr defaultColWidth="9.140625" defaultRowHeight="15"/>
  <cols>
    <col min="1" max="1" width="16.7109375" style="1" customWidth="1"/>
    <col min="2" max="2" width="19.00390625" style="1" customWidth="1"/>
    <col min="3" max="3" width="31.00390625" style="5" customWidth="1"/>
    <col min="4" max="4" width="13.8515625" style="1" customWidth="1"/>
    <col min="5" max="5" width="19.28125" style="1" customWidth="1"/>
    <col min="6" max="6" width="13.8515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237</v>
      </c>
      <c r="B6" s="364"/>
      <c r="C6" s="364"/>
      <c r="D6" s="364"/>
      <c r="E6" s="364"/>
      <c r="F6" s="364"/>
      <c r="G6" s="364"/>
      <c r="H6" s="364"/>
      <c r="I6" s="364"/>
    </row>
    <row r="7" spans="1:9" s="4" customFormat="1" ht="15.75">
      <c r="A7" s="364" t="s">
        <v>27</v>
      </c>
      <c r="B7" s="364"/>
      <c r="C7" s="364"/>
      <c r="D7" s="364"/>
      <c r="E7" s="364"/>
      <c r="F7" s="364"/>
      <c r="G7" s="364"/>
      <c r="H7" s="364"/>
      <c r="I7" s="364"/>
    </row>
    <row r="8" spans="1:10" s="10" customFormat="1" ht="19.5" customHeight="1">
      <c r="A8" s="420" t="s">
        <v>28</v>
      </c>
      <c r="B8" s="420" t="s">
        <v>0</v>
      </c>
      <c r="C8" s="420"/>
      <c r="D8" s="420"/>
      <c r="E8" s="420"/>
      <c r="F8" s="458" t="s">
        <v>1</v>
      </c>
      <c r="G8" s="459"/>
      <c r="H8" s="459"/>
      <c r="I8" s="460"/>
      <c r="J8" s="9"/>
    </row>
    <row r="9" spans="1:10" s="10" customFormat="1" ht="13.5" customHeight="1">
      <c r="A9" s="420"/>
      <c r="B9" s="420" t="s">
        <v>2</v>
      </c>
      <c r="C9" s="420"/>
      <c r="D9" s="420" t="s">
        <v>23</v>
      </c>
      <c r="E9" s="420"/>
      <c r="F9" s="452" t="s">
        <v>2</v>
      </c>
      <c r="G9" s="461"/>
      <c r="H9" s="452" t="s">
        <v>3</v>
      </c>
      <c r="I9" s="453"/>
      <c r="J9" s="9"/>
    </row>
    <row r="10" spans="1:10" s="10" customFormat="1" ht="26.25" customHeight="1">
      <c r="A10" s="420"/>
      <c r="B10" s="420"/>
      <c r="C10" s="420"/>
      <c r="D10" s="420"/>
      <c r="E10" s="420"/>
      <c r="F10" s="462"/>
      <c r="G10" s="463"/>
      <c r="H10" s="454"/>
      <c r="I10" s="455"/>
      <c r="J10" s="9"/>
    </row>
    <row r="11" spans="1:10" s="10" customFormat="1" ht="67.5" customHeight="1">
      <c r="A11" s="420"/>
      <c r="B11" s="19" t="s">
        <v>22</v>
      </c>
      <c r="C11" s="20" t="s">
        <v>4</v>
      </c>
      <c r="D11" s="19" t="s">
        <v>22</v>
      </c>
      <c r="E11" s="19" t="s">
        <v>5</v>
      </c>
      <c r="F11" s="19" t="s">
        <v>22</v>
      </c>
      <c r="G11" s="19" t="s">
        <v>4</v>
      </c>
      <c r="H11" s="19" t="s">
        <v>22</v>
      </c>
      <c r="I11" s="19" t="s">
        <v>6</v>
      </c>
      <c r="J11" s="9"/>
    </row>
    <row r="12" spans="1:10" s="10" customFormat="1" ht="39" customHeight="1">
      <c r="A12" s="444" t="s">
        <v>24</v>
      </c>
      <c r="B12" s="436">
        <f>980+495+394+2138+392+9440+216+10300+252</f>
        <v>24607</v>
      </c>
      <c r="C12" s="431" t="s">
        <v>238</v>
      </c>
      <c r="D12" s="23"/>
      <c r="E12" s="24"/>
      <c r="F12" s="25"/>
      <c r="G12" s="97"/>
      <c r="H12" s="26"/>
      <c r="I12" s="26"/>
      <c r="J12" s="9"/>
    </row>
    <row r="13" spans="1:10" s="10" customFormat="1" ht="20.25" customHeight="1">
      <c r="A13" s="445"/>
      <c r="B13" s="437"/>
      <c r="C13" s="433"/>
      <c r="D13" s="23"/>
      <c r="E13" s="106"/>
      <c r="F13" s="25"/>
      <c r="G13" s="97"/>
      <c r="H13" s="26"/>
      <c r="I13" s="26"/>
      <c r="J13" s="9"/>
    </row>
    <row r="14" spans="1:11" s="13" customFormat="1" ht="20.25" customHeight="1">
      <c r="A14" s="27" t="s">
        <v>19</v>
      </c>
      <c r="B14" s="28">
        <f>SUM(B12:B13)</f>
        <v>24607</v>
      </c>
      <c r="C14" s="94"/>
      <c r="D14" s="29"/>
      <c r="E14" s="30"/>
      <c r="F14" s="31"/>
      <c r="G14" s="98"/>
      <c r="H14" s="27"/>
      <c r="I14" s="27"/>
      <c r="J14" s="11"/>
      <c r="K14" s="12"/>
    </row>
    <row r="15" spans="1:11" s="10" customFormat="1" ht="63" customHeight="1">
      <c r="A15" s="44" t="s">
        <v>7</v>
      </c>
      <c r="B15" s="174">
        <f>369+391.5+332.4+6060+280.65+504.26+6950+720</f>
        <v>15607.81</v>
      </c>
      <c r="C15" s="40" t="s">
        <v>239</v>
      </c>
      <c r="D15" s="32"/>
      <c r="E15" s="33"/>
      <c r="F15" s="25"/>
      <c r="G15" s="97"/>
      <c r="H15" s="26"/>
      <c r="I15" s="26"/>
      <c r="J15" s="9"/>
      <c r="K15" s="14"/>
    </row>
    <row r="16" spans="1:11" s="13" customFormat="1" ht="19.5" customHeight="1">
      <c r="A16" s="27" t="s">
        <v>19</v>
      </c>
      <c r="B16" s="28">
        <f>SUM(B15)</f>
        <v>15607.81</v>
      </c>
      <c r="C16" s="163"/>
      <c r="D16" s="34"/>
      <c r="E16" s="30"/>
      <c r="F16" s="31"/>
      <c r="G16" s="98"/>
      <c r="H16" s="27"/>
      <c r="I16" s="27"/>
      <c r="J16" s="11"/>
      <c r="K16" s="12"/>
    </row>
    <row r="17" spans="1:11" s="13" customFormat="1" ht="37.5" customHeight="1">
      <c r="A17" s="178" t="s">
        <v>32</v>
      </c>
      <c r="B17" s="174">
        <f>194.1+2536.1+748.8+943.8+3900</f>
        <v>8322.8</v>
      </c>
      <c r="C17" s="171" t="s">
        <v>240</v>
      </c>
      <c r="D17" s="21"/>
      <c r="E17" s="33"/>
      <c r="F17" s="36">
        <f>2495+1000+2300+700</f>
        <v>6495</v>
      </c>
      <c r="G17" s="97" t="s">
        <v>108</v>
      </c>
      <c r="H17" s="27"/>
      <c r="I17" s="27"/>
      <c r="J17" s="11"/>
      <c r="K17" s="12"/>
    </row>
    <row r="18" spans="1:11" s="13" customFormat="1" ht="23.25" customHeight="1">
      <c r="A18" s="27" t="s">
        <v>19</v>
      </c>
      <c r="B18" s="28">
        <f>SUM(B17)</f>
        <v>8322.8</v>
      </c>
      <c r="C18" s="40"/>
      <c r="D18" s="29"/>
      <c r="E18" s="30"/>
      <c r="F18" s="37">
        <f>F17</f>
        <v>6495</v>
      </c>
      <c r="G18" s="98"/>
      <c r="H18" s="27"/>
      <c r="I18" s="27"/>
      <c r="J18" s="11"/>
      <c r="K18" s="12"/>
    </row>
    <row r="19" spans="1:11" s="10" customFormat="1" ht="39.75" customHeight="1">
      <c r="A19" s="44" t="s">
        <v>55</v>
      </c>
      <c r="B19" s="174">
        <v>2542</v>
      </c>
      <c r="C19" s="40" t="s">
        <v>241</v>
      </c>
      <c r="D19" s="38"/>
      <c r="E19" s="39"/>
      <c r="F19" s="25"/>
      <c r="G19" s="97"/>
      <c r="H19" s="26"/>
      <c r="I19" s="26"/>
      <c r="J19" s="9"/>
      <c r="K19" s="14"/>
    </row>
    <row r="20" spans="1:11" s="13" customFormat="1" ht="17.25" customHeight="1">
      <c r="A20" s="27" t="s">
        <v>20</v>
      </c>
      <c r="B20" s="28">
        <f>B19</f>
        <v>2542</v>
      </c>
      <c r="C20" s="94"/>
      <c r="D20" s="23"/>
      <c r="E20" s="33"/>
      <c r="F20" s="31"/>
      <c r="G20" s="98"/>
      <c r="H20" s="27"/>
      <c r="I20" s="27"/>
      <c r="J20" s="11"/>
      <c r="K20" s="12"/>
    </row>
    <row r="21" spans="1:11" s="10" customFormat="1" ht="20.25" customHeight="1">
      <c r="A21" s="21" t="s">
        <v>8</v>
      </c>
      <c r="B21" s="22">
        <v>243</v>
      </c>
      <c r="C21" s="40" t="s">
        <v>242</v>
      </c>
      <c r="D21" s="38"/>
      <c r="E21" s="39"/>
      <c r="F21" s="25"/>
      <c r="G21" s="97"/>
      <c r="H21" s="41"/>
      <c r="I21" s="97"/>
      <c r="J21" s="9"/>
      <c r="K21" s="14"/>
    </row>
    <row r="22" spans="1:11" s="13" customFormat="1" ht="17.25" customHeight="1">
      <c r="A22" s="27" t="s">
        <v>20</v>
      </c>
      <c r="B22" s="28">
        <f>B21</f>
        <v>243</v>
      </c>
      <c r="C22" s="163"/>
      <c r="D22" s="109"/>
      <c r="E22" s="112"/>
      <c r="F22" s="113"/>
      <c r="G22" s="110"/>
      <c r="H22" s="114"/>
      <c r="I22" s="115"/>
      <c r="J22" s="11"/>
      <c r="K22" s="12"/>
    </row>
    <row r="23" spans="1:11" s="13" customFormat="1" ht="20.25" customHeight="1">
      <c r="A23" s="444" t="s">
        <v>9</v>
      </c>
      <c r="B23" s="456">
        <f>2240+13560+555.28+681+934+641+9600+2314+931+603+516</f>
        <v>32575.28</v>
      </c>
      <c r="C23" s="431" t="s">
        <v>230</v>
      </c>
      <c r="D23" s="428"/>
      <c r="E23" s="429"/>
      <c r="F23" s="430"/>
      <c r="G23" s="427"/>
      <c r="H23" s="426"/>
      <c r="I23" s="426"/>
      <c r="J23" s="11"/>
      <c r="K23" s="12"/>
    </row>
    <row r="24" spans="1:11" s="13" customFormat="1" ht="21" customHeight="1">
      <c r="A24" s="445"/>
      <c r="B24" s="457"/>
      <c r="C24" s="433"/>
      <c r="D24" s="428"/>
      <c r="E24" s="429"/>
      <c r="F24" s="430"/>
      <c r="G24" s="427"/>
      <c r="H24" s="426"/>
      <c r="I24" s="426"/>
      <c r="J24" s="11"/>
      <c r="K24" s="12"/>
    </row>
    <row r="25" spans="1:11" s="13" customFormat="1" ht="22.5" customHeight="1">
      <c r="A25" s="27" t="s">
        <v>20</v>
      </c>
      <c r="B25" s="28">
        <f>SUM(B23:B24)</f>
        <v>32575.28</v>
      </c>
      <c r="C25" s="172"/>
      <c r="D25" s="23"/>
      <c r="E25" s="119"/>
      <c r="F25" s="74"/>
      <c r="G25" s="98"/>
      <c r="H25" s="60"/>
      <c r="I25" s="60"/>
      <c r="J25" s="11"/>
      <c r="K25" s="12"/>
    </row>
    <row r="26" spans="1:11" s="10" customFormat="1" ht="38.25" customHeight="1">
      <c r="A26" s="44" t="s">
        <v>10</v>
      </c>
      <c r="B26" s="174">
        <f>64.8+64.8+570+64.8+64.8+64.8</f>
        <v>893.9999999999999</v>
      </c>
      <c r="C26" s="173" t="s">
        <v>218</v>
      </c>
      <c r="D26" s="23"/>
      <c r="E26" s="119"/>
      <c r="F26" s="59"/>
      <c r="G26" s="97"/>
      <c r="H26" s="19"/>
      <c r="I26" s="19"/>
      <c r="J26" s="9"/>
      <c r="K26" s="14"/>
    </row>
    <row r="27" spans="1:11" s="13" customFormat="1" ht="16.5" customHeight="1">
      <c r="A27" s="27" t="s">
        <v>20</v>
      </c>
      <c r="B27" s="28">
        <f>SUM(B26)</f>
        <v>893.9999999999999</v>
      </c>
      <c r="C27" s="172"/>
      <c r="D27" s="23"/>
      <c r="E27" s="119"/>
      <c r="F27" s="57"/>
      <c r="G27" s="98"/>
      <c r="H27" s="60"/>
      <c r="I27" s="60"/>
      <c r="J27" s="11"/>
      <c r="K27" s="12"/>
    </row>
    <row r="28" spans="1:10" s="10" customFormat="1" ht="24.75" customHeight="1">
      <c r="A28" s="448" t="s">
        <v>11</v>
      </c>
      <c r="B28" s="450">
        <f>635.4+294.8+660+1100+294.8+142.4+110</f>
        <v>3237.4</v>
      </c>
      <c r="C28" s="431" t="s">
        <v>219</v>
      </c>
      <c r="D28" s="23"/>
      <c r="E28" s="119"/>
      <c r="F28" s="75"/>
      <c r="G28" s="97"/>
      <c r="H28" s="19"/>
      <c r="I28" s="19"/>
      <c r="J28" s="9"/>
    </row>
    <row r="29" spans="1:10" s="10" customFormat="1" ht="19.5" customHeight="1">
      <c r="A29" s="449"/>
      <c r="B29" s="451"/>
      <c r="C29" s="433"/>
      <c r="D29" s="23"/>
      <c r="E29" s="119"/>
      <c r="F29" s="75"/>
      <c r="G29" s="97"/>
      <c r="H29" s="19"/>
      <c r="I29" s="19"/>
      <c r="J29" s="9"/>
    </row>
    <row r="30" spans="1:10" s="13" customFormat="1" ht="18.75" customHeight="1">
      <c r="A30" s="27" t="s">
        <v>20</v>
      </c>
      <c r="B30" s="28">
        <f>SUM(B28:B29)</f>
        <v>3237.4</v>
      </c>
      <c r="C30" s="94"/>
      <c r="D30" s="19"/>
      <c r="E30" s="43"/>
      <c r="F30" s="74"/>
      <c r="G30" s="98"/>
      <c r="H30" s="60"/>
      <c r="I30" s="60"/>
      <c r="J30" s="11"/>
    </row>
    <row r="31" spans="1:10" s="10" customFormat="1" ht="15.75" customHeight="1">
      <c r="A31" s="444" t="s">
        <v>49</v>
      </c>
      <c r="B31" s="436">
        <f>374.4+6834+399.6+8932</f>
        <v>16540</v>
      </c>
      <c r="C31" s="444" t="s">
        <v>220</v>
      </c>
      <c r="D31" s="23"/>
      <c r="E31" s="119"/>
      <c r="F31" s="75"/>
      <c r="G31" s="97"/>
      <c r="H31" s="19"/>
      <c r="I31" s="19"/>
      <c r="J31" s="9"/>
    </row>
    <row r="32" spans="1:10" s="10" customFormat="1" ht="24" customHeight="1">
      <c r="A32" s="445"/>
      <c r="B32" s="437"/>
      <c r="C32" s="468"/>
      <c r="D32" s="23"/>
      <c r="E32" s="119"/>
      <c r="F32" s="75"/>
      <c r="G32" s="97"/>
      <c r="H32" s="19"/>
      <c r="I32" s="19"/>
      <c r="J32" s="9"/>
    </row>
    <row r="33" spans="1:10" s="13" customFormat="1" ht="19.5" customHeight="1">
      <c r="A33" s="27" t="s">
        <v>20</v>
      </c>
      <c r="B33" s="28">
        <f>SUM(B31:B32)</f>
        <v>16540</v>
      </c>
      <c r="C33" s="445"/>
      <c r="D33" s="116"/>
      <c r="E33" s="117"/>
      <c r="F33" s="118"/>
      <c r="G33" s="111"/>
      <c r="H33" s="85"/>
      <c r="I33" s="85"/>
      <c r="J33" s="11"/>
    </row>
    <row r="34" spans="1:10" s="10" customFormat="1" ht="36.75" customHeight="1">
      <c r="A34" s="44" t="s">
        <v>12</v>
      </c>
      <c r="B34" s="174">
        <f>378+378+394+258+258</f>
        <v>1666</v>
      </c>
      <c r="C34" s="40" t="s">
        <v>77</v>
      </c>
      <c r="D34" s="19"/>
      <c r="E34" s="43"/>
      <c r="F34" s="76"/>
      <c r="G34" s="97"/>
      <c r="H34" s="19"/>
      <c r="I34" s="19"/>
      <c r="J34" s="9"/>
    </row>
    <row r="35" spans="1:10" s="13" customFormat="1" ht="16.5" customHeight="1">
      <c r="A35" s="27" t="s">
        <v>20</v>
      </c>
      <c r="B35" s="28">
        <f>SUM(B34)</f>
        <v>1666</v>
      </c>
      <c r="C35" s="163"/>
      <c r="D35" s="44"/>
      <c r="E35" s="45"/>
      <c r="F35" s="77"/>
      <c r="G35" s="98"/>
      <c r="H35" s="60"/>
      <c r="I35" s="60"/>
      <c r="J35" s="11"/>
    </row>
    <row r="36" spans="1:10" s="10" customFormat="1" ht="18" customHeight="1">
      <c r="A36" s="21" t="s">
        <v>21</v>
      </c>
      <c r="B36" s="22">
        <f>850+154+196+904+190+200+45</f>
        <v>2539</v>
      </c>
      <c r="C36" s="431" t="s">
        <v>221</v>
      </c>
      <c r="D36" s="44"/>
      <c r="E36" s="43"/>
      <c r="F36" s="76"/>
      <c r="G36" s="97"/>
      <c r="H36" s="19"/>
      <c r="I36" s="19"/>
      <c r="J36" s="9"/>
    </row>
    <row r="37" spans="1:10" s="13" customFormat="1" ht="24.75" customHeight="1">
      <c r="A37" s="27" t="s">
        <v>20</v>
      </c>
      <c r="B37" s="28">
        <f>SUM(B36:B36)</f>
        <v>2539</v>
      </c>
      <c r="C37" s="433"/>
      <c r="D37" s="19"/>
      <c r="E37" s="43"/>
      <c r="F37" s="77"/>
      <c r="G37" s="98"/>
      <c r="H37" s="60"/>
      <c r="I37" s="60"/>
      <c r="J37" s="11"/>
    </row>
    <row r="38" spans="1:10" s="10" customFormat="1" ht="42" customHeight="1">
      <c r="A38" s="44" t="s">
        <v>13</v>
      </c>
      <c r="B38" s="174">
        <f>550+634+648+4026+2572+475+521+542</f>
        <v>9968</v>
      </c>
      <c r="C38" s="171" t="s">
        <v>214</v>
      </c>
      <c r="D38" s="44"/>
      <c r="E38" s="42"/>
      <c r="F38" s="43"/>
      <c r="G38" s="97"/>
      <c r="H38" s="19"/>
      <c r="I38" s="19"/>
      <c r="J38" s="9"/>
    </row>
    <row r="39" spans="1:10" s="13" customFormat="1" ht="22.5" customHeight="1">
      <c r="A39" s="27" t="s">
        <v>20</v>
      </c>
      <c r="B39" s="28">
        <f>SUM(B38)</f>
        <v>9968</v>
      </c>
      <c r="C39" s="40"/>
      <c r="D39" s="44"/>
      <c r="E39" s="42"/>
      <c r="F39" s="74"/>
      <c r="G39" s="98"/>
      <c r="H39" s="60"/>
      <c r="I39" s="60"/>
      <c r="J39" s="11"/>
    </row>
    <row r="40" spans="1:10" s="10" customFormat="1" ht="58.5" customHeight="1">
      <c r="A40" s="44" t="s">
        <v>14</v>
      </c>
      <c r="B40" s="174">
        <f>699+3000+11000+637</f>
        <v>15336</v>
      </c>
      <c r="C40" s="173" t="s">
        <v>231</v>
      </c>
      <c r="D40" s="44"/>
      <c r="E40" s="42"/>
      <c r="F40" s="43"/>
      <c r="G40" s="97"/>
      <c r="H40" s="19"/>
      <c r="I40" s="19"/>
      <c r="J40" s="9"/>
    </row>
    <row r="41" spans="1:10" s="13" customFormat="1" ht="17.25" customHeight="1">
      <c r="A41" s="27" t="s">
        <v>20</v>
      </c>
      <c r="B41" s="28">
        <f>SUM(B40:B40)</f>
        <v>15336</v>
      </c>
      <c r="C41" s="172"/>
      <c r="D41" s="44"/>
      <c r="E41" s="42"/>
      <c r="F41" s="74">
        <f>F40</f>
        <v>0</v>
      </c>
      <c r="G41" s="98"/>
      <c r="H41" s="60"/>
      <c r="I41" s="60"/>
      <c r="J41" s="11"/>
    </row>
    <row r="42" spans="1:10" s="10" customFormat="1" ht="42.75" customHeight="1">
      <c r="A42" s="44" t="s">
        <v>15</v>
      </c>
      <c r="B42" s="174">
        <f>24000+644+2000+822+822+722+722</f>
        <v>29732</v>
      </c>
      <c r="C42" s="171" t="s">
        <v>211</v>
      </c>
      <c r="D42" s="44"/>
      <c r="E42" s="46"/>
      <c r="F42" s="43"/>
      <c r="G42" s="97"/>
      <c r="H42" s="19"/>
      <c r="I42" s="19"/>
      <c r="J42" s="9"/>
    </row>
    <row r="43" spans="1:10" s="13" customFormat="1" ht="21.75" customHeight="1">
      <c r="A43" s="27" t="s">
        <v>20</v>
      </c>
      <c r="B43" s="28">
        <f>SUM(B42:B42)</f>
        <v>29732</v>
      </c>
      <c r="C43" s="40"/>
      <c r="D43" s="44"/>
      <c r="E43" s="46"/>
      <c r="F43" s="74"/>
      <c r="G43" s="98"/>
      <c r="H43" s="60"/>
      <c r="I43" s="60"/>
      <c r="J43" s="11"/>
    </row>
    <row r="44" spans="1:10" s="10" customFormat="1" ht="42.75" customHeight="1">
      <c r="A44" s="44" t="s">
        <v>16</v>
      </c>
      <c r="B44" s="174">
        <f>3200+480+1980+3641+250+3030+1288.52+284.4+200</f>
        <v>14353.92</v>
      </c>
      <c r="C44" s="431" t="s">
        <v>232</v>
      </c>
      <c r="D44" s="44"/>
      <c r="E44" s="46"/>
      <c r="F44" s="43"/>
      <c r="G44" s="97"/>
      <c r="H44" s="19"/>
      <c r="I44" s="19"/>
      <c r="J44" s="9"/>
    </row>
    <row r="45" spans="1:10" s="13" customFormat="1" ht="42.75" customHeight="1">
      <c r="A45" s="27" t="s">
        <v>20</v>
      </c>
      <c r="B45" s="177">
        <f>SUM(B44:B44)</f>
        <v>14353.92</v>
      </c>
      <c r="C45" s="433"/>
      <c r="D45" s="44"/>
      <c r="E45" s="46"/>
      <c r="F45" s="74">
        <f>F44</f>
        <v>0</v>
      </c>
      <c r="G45" s="98"/>
      <c r="H45" s="60"/>
      <c r="I45" s="60"/>
      <c r="J45" s="11"/>
    </row>
    <row r="46" spans="1:10" s="10" customFormat="1" ht="29.25" customHeight="1">
      <c r="A46" s="44" t="s">
        <v>17</v>
      </c>
      <c r="B46" s="179">
        <f>4500+198+460+3530+580+1090</f>
        <v>10358</v>
      </c>
      <c r="C46" s="431" t="s">
        <v>222</v>
      </c>
      <c r="D46" s="19"/>
      <c r="E46" s="46"/>
      <c r="F46" s="43"/>
      <c r="G46" s="97"/>
      <c r="H46" s="19"/>
      <c r="I46" s="19"/>
      <c r="J46" s="9"/>
    </row>
    <row r="47" spans="1:10" s="13" customFormat="1" ht="30" customHeight="1">
      <c r="A47" s="27" t="s">
        <v>20</v>
      </c>
      <c r="B47" s="48">
        <f>SUM(B46:B46)</f>
        <v>10358</v>
      </c>
      <c r="C47" s="433"/>
      <c r="D47" s="44"/>
      <c r="E47" s="42"/>
      <c r="F47" s="74"/>
      <c r="G47" s="98"/>
      <c r="H47" s="60"/>
      <c r="I47" s="60"/>
      <c r="J47" s="11"/>
    </row>
    <row r="48" spans="1:10" s="10" customFormat="1" ht="18.75" customHeight="1">
      <c r="A48" s="49" t="s">
        <v>18</v>
      </c>
      <c r="B48" s="22">
        <f>140+3200+1990+140+170+430+150+150</f>
        <v>6370</v>
      </c>
      <c r="C48" s="431" t="s">
        <v>233</v>
      </c>
      <c r="D48" s="44"/>
      <c r="E48" s="42"/>
      <c r="F48" s="43"/>
      <c r="G48" s="97"/>
      <c r="H48" s="19"/>
      <c r="I48" s="19"/>
      <c r="J48" s="9"/>
    </row>
    <row r="49" spans="1:10" s="10" customFormat="1" ht="19.5" customHeight="1" thickBot="1">
      <c r="A49" s="27" t="s">
        <v>20</v>
      </c>
      <c r="B49" s="28">
        <f>SUM(B48:B48)</f>
        <v>6370</v>
      </c>
      <c r="C49" s="433"/>
      <c r="D49" s="50"/>
      <c r="E49" s="51"/>
      <c r="F49" s="74">
        <f>F48</f>
        <v>0</v>
      </c>
      <c r="G49" s="100"/>
      <c r="H49" s="79"/>
      <c r="I49" s="79"/>
      <c r="J49" s="9"/>
    </row>
    <row r="50" spans="1:10" s="16" customFormat="1" ht="36.75" customHeight="1" thickBot="1">
      <c r="A50" s="52" t="s">
        <v>68</v>
      </c>
      <c r="B50" s="53">
        <f>SUM(B14+B16+B18+B20+B22+B25+B27+B30+B33+B35+B37+B39+B41+B43+B45+B47+B49)</f>
        <v>194892.21</v>
      </c>
      <c r="C50" s="95"/>
      <c r="D50" s="54"/>
      <c r="E50" s="55"/>
      <c r="F50" s="80">
        <f>F41+F49+F18+F45</f>
        <v>6495</v>
      </c>
      <c r="G50" s="101"/>
      <c r="H50" s="82">
        <f>H22</f>
        <v>0</v>
      </c>
      <c r="I50" s="81"/>
      <c r="J50" s="15"/>
    </row>
    <row r="51" spans="1:10" s="10" customFormat="1" ht="24" customHeight="1">
      <c r="A51" s="26" t="s">
        <v>41</v>
      </c>
      <c r="B51" s="22">
        <f>7155</f>
        <v>7155</v>
      </c>
      <c r="C51" s="431" t="s">
        <v>244</v>
      </c>
      <c r="D51" s="56">
        <v>617</v>
      </c>
      <c r="E51" s="83"/>
      <c r="F51" s="84"/>
      <c r="G51" s="97"/>
      <c r="H51" s="85"/>
      <c r="I51" s="85"/>
      <c r="J51" s="11"/>
    </row>
    <row r="52" spans="1:10" s="13" customFormat="1" ht="17.25" customHeight="1">
      <c r="A52" s="27" t="s">
        <v>20</v>
      </c>
      <c r="B52" s="28">
        <f>SUM(B51:B51)</f>
        <v>7155</v>
      </c>
      <c r="C52" s="433"/>
      <c r="D52" s="57">
        <f>D51</f>
        <v>617</v>
      </c>
      <c r="E52" s="58"/>
      <c r="F52" s="74">
        <f>F51</f>
        <v>0</v>
      </c>
      <c r="G52" s="98"/>
      <c r="H52" s="60"/>
      <c r="I52" s="60"/>
      <c r="J52" s="11"/>
    </row>
    <row r="53" spans="1:10" s="10" customFormat="1" ht="29.25" customHeight="1">
      <c r="A53" s="26" t="s">
        <v>56</v>
      </c>
      <c r="B53" s="22">
        <f>708+5982.8+5430+674+8952+2240+931+700+789.4</f>
        <v>26407.2</v>
      </c>
      <c r="C53" s="431" t="s">
        <v>245</v>
      </c>
      <c r="D53" s="56">
        <v>617</v>
      </c>
      <c r="E53" s="83"/>
      <c r="F53" s="84"/>
      <c r="G53" s="97"/>
      <c r="H53" s="85"/>
      <c r="I53" s="85"/>
      <c r="J53" s="11"/>
    </row>
    <row r="54" spans="1:10" s="13" customFormat="1" ht="26.25" customHeight="1">
      <c r="A54" s="27" t="s">
        <v>20</v>
      </c>
      <c r="B54" s="28">
        <f>SUM(B53:B53)</f>
        <v>26407.2</v>
      </c>
      <c r="C54" s="433"/>
      <c r="D54" s="57">
        <f>D53</f>
        <v>617</v>
      </c>
      <c r="E54" s="58"/>
      <c r="F54" s="74">
        <f>F53</f>
        <v>0</v>
      </c>
      <c r="G54" s="98"/>
      <c r="H54" s="60"/>
      <c r="I54" s="60"/>
      <c r="J54" s="11"/>
    </row>
    <row r="55" spans="1:10" s="13" customFormat="1" ht="26.25" customHeight="1">
      <c r="A55" s="444" t="s">
        <v>39</v>
      </c>
      <c r="B55" s="464">
        <f>13240+3142.5</f>
        <v>16382.5</v>
      </c>
      <c r="C55" s="163" t="s">
        <v>84</v>
      </c>
      <c r="D55" s="59">
        <f>190+617</f>
        <v>807</v>
      </c>
      <c r="E55" s="46" t="s">
        <v>213</v>
      </c>
      <c r="F55" s="74"/>
      <c r="G55" s="98"/>
      <c r="H55" s="60"/>
      <c r="I55" s="60"/>
      <c r="J55" s="11"/>
    </row>
    <row r="56" spans="1:10" s="13" customFormat="1" ht="60.75" customHeight="1">
      <c r="A56" s="445"/>
      <c r="B56" s="465"/>
      <c r="C56" s="120" t="s">
        <v>215</v>
      </c>
      <c r="D56" s="166">
        <f>20797+5329.7+21045.33+33235</f>
        <v>80407.03</v>
      </c>
      <c r="E56" s="156" t="s">
        <v>196</v>
      </c>
      <c r="F56" s="43">
        <v>812</v>
      </c>
      <c r="G56" s="97" t="s">
        <v>110</v>
      </c>
      <c r="H56" s="60"/>
      <c r="I56" s="60"/>
      <c r="J56" s="11"/>
    </row>
    <row r="57" spans="1:10" s="13" customFormat="1" ht="20.25" customHeight="1">
      <c r="A57" s="27" t="s">
        <v>20</v>
      </c>
      <c r="B57" s="28">
        <f>SUM(B55:B55)</f>
        <v>16382.5</v>
      </c>
      <c r="C57" s="94"/>
      <c r="D57" s="57">
        <f>SUM(D55:D56)</f>
        <v>81214.03</v>
      </c>
      <c r="E57" s="58"/>
      <c r="F57" s="74">
        <f>F56</f>
        <v>812</v>
      </c>
      <c r="G57" s="98"/>
      <c r="H57" s="60"/>
      <c r="I57" s="60"/>
      <c r="J57" s="11"/>
    </row>
    <row r="58" spans="1:10" s="10" customFormat="1" ht="63.75" customHeight="1">
      <c r="A58" s="44" t="s">
        <v>38</v>
      </c>
      <c r="B58" s="167">
        <f>5000+5300</f>
        <v>10300</v>
      </c>
      <c r="C58" s="169" t="s">
        <v>235</v>
      </c>
      <c r="D58" s="166">
        <f>190+617+210</f>
        <v>1017</v>
      </c>
      <c r="E58" s="78" t="s">
        <v>213</v>
      </c>
      <c r="F58" s="43">
        <f>333.5+464</f>
        <v>797.5</v>
      </c>
      <c r="G58" s="97" t="s">
        <v>110</v>
      </c>
      <c r="H58" s="78"/>
      <c r="I58" s="19"/>
      <c r="J58" s="3"/>
    </row>
    <row r="59" spans="1:10" s="13" customFormat="1" ht="16.5" customHeight="1">
      <c r="A59" s="27" t="s">
        <v>20</v>
      </c>
      <c r="B59" s="28">
        <f>SUM(B58:B58)</f>
        <v>10300</v>
      </c>
      <c r="C59" s="94"/>
      <c r="D59" s="57">
        <f>D58</f>
        <v>1017</v>
      </c>
      <c r="E59" s="86"/>
      <c r="F59" s="74">
        <f>F58</f>
        <v>797.5</v>
      </c>
      <c r="G59" s="98"/>
      <c r="H59" s="86"/>
      <c r="I59" s="60"/>
      <c r="J59" s="17"/>
    </row>
    <row r="60" spans="1:10" s="13" customFormat="1" ht="61.5" customHeight="1">
      <c r="A60" s="21" t="s">
        <v>40</v>
      </c>
      <c r="B60" s="22">
        <v>200</v>
      </c>
      <c r="C60" s="40" t="s">
        <v>223</v>
      </c>
      <c r="D60" s="59">
        <f>190+617</f>
        <v>807</v>
      </c>
      <c r="E60" s="78" t="s">
        <v>213</v>
      </c>
      <c r="F60" s="43">
        <v>377</v>
      </c>
      <c r="G60" s="97" t="s">
        <v>110</v>
      </c>
      <c r="H60" s="86"/>
      <c r="I60" s="60"/>
      <c r="J60" s="17"/>
    </row>
    <row r="61" spans="1:10" s="13" customFormat="1" ht="17.25" customHeight="1">
      <c r="A61" s="27" t="s">
        <v>20</v>
      </c>
      <c r="B61" s="28">
        <f>SUM(B60:B60)</f>
        <v>200</v>
      </c>
      <c r="C61" s="96"/>
      <c r="D61" s="61">
        <f>SUM(D60)</f>
        <v>807</v>
      </c>
      <c r="E61" s="61"/>
      <c r="F61" s="57">
        <f>F60</f>
        <v>377</v>
      </c>
      <c r="G61" s="98"/>
      <c r="H61" s="86"/>
      <c r="I61" s="60"/>
      <c r="J61" s="17"/>
    </row>
    <row r="62" spans="1:10" s="13" customFormat="1" ht="62.25" customHeight="1">
      <c r="A62" s="44" t="s">
        <v>42</v>
      </c>
      <c r="B62" s="174"/>
      <c r="C62" s="40" t="s">
        <v>84</v>
      </c>
      <c r="D62" s="166">
        <f>330+35+617</f>
        <v>982</v>
      </c>
      <c r="E62" s="45" t="s">
        <v>213</v>
      </c>
      <c r="F62" s="59">
        <f>348</f>
        <v>348</v>
      </c>
      <c r="G62" s="97" t="s">
        <v>110</v>
      </c>
      <c r="H62" s="86"/>
      <c r="I62" s="60"/>
      <c r="J62" s="17"/>
    </row>
    <row r="63" spans="1:10" s="13" customFormat="1" ht="17.25" customHeight="1">
      <c r="A63" s="27" t="s">
        <v>20</v>
      </c>
      <c r="B63" s="28">
        <f>SUM(B62:B62)</f>
        <v>0</v>
      </c>
      <c r="C63" s="96"/>
      <c r="D63" s="57">
        <f>SUM(D62)</f>
        <v>982</v>
      </c>
      <c r="E63" s="61"/>
      <c r="F63" s="57">
        <f>F62</f>
        <v>348</v>
      </c>
      <c r="G63" s="98"/>
      <c r="H63" s="86"/>
      <c r="I63" s="60"/>
      <c r="J63" s="17"/>
    </row>
    <row r="64" spans="1:10" s="10" customFormat="1" ht="63" customHeight="1">
      <c r="A64" s="44" t="s">
        <v>29</v>
      </c>
      <c r="B64" s="174">
        <f>1516+3954</f>
        <v>5470</v>
      </c>
      <c r="C64" s="431" t="s">
        <v>216</v>
      </c>
      <c r="D64" s="45">
        <f>190+617</f>
        <v>807</v>
      </c>
      <c r="E64" s="59" t="s">
        <v>213</v>
      </c>
      <c r="F64" s="45">
        <f>246.5+1841.5</f>
        <v>2088</v>
      </c>
      <c r="G64" s="97" t="s">
        <v>110</v>
      </c>
      <c r="H64" s="43"/>
      <c r="I64" s="19"/>
      <c r="J64" s="3"/>
    </row>
    <row r="65" spans="1:10" s="13" customFormat="1" ht="33.75" customHeight="1">
      <c r="A65" s="27" t="s">
        <v>20</v>
      </c>
      <c r="B65" s="177">
        <f>SUM(B64:B64)</f>
        <v>5470</v>
      </c>
      <c r="C65" s="433"/>
      <c r="D65" s="57">
        <f>SUM(D64)</f>
        <v>807</v>
      </c>
      <c r="E65" s="61"/>
      <c r="F65" s="57">
        <f>F64</f>
        <v>2088</v>
      </c>
      <c r="G65" s="98"/>
      <c r="H65" s="74">
        <f>H64</f>
        <v>0</v>
      </c>
      <c r="I65" s="60"/>
      <c r="J65" s="17"/>
    </row>
    <row r="66" spans="1:10" s="13" customFormat="1" ht="174.75" customHeight="1" hidden="1">
      <c r="A66" s="27" t="s">
        <v>20</v>
      </c>
      <c r="B66" s="28">
        <f>SUM(B64:B65)</f>
        <v>10940</v>
      </c>
      <c r="C66" s="94"/>
      <c r="D66" s="61"/>
      <c r="E66" s="57"/>
      <c r="F66" s="61"/>
      <c r="G66" s="98"/>
      <c r="H66" s="86"/>
      <c r="I66" s="86"/>
      <c r="J66" s="17"/>
    </row>
    <row r="67" spans="1:10" s="13" customFormat="1" ht="16.5" customHeight="1" hidden="1">
      <c r="A67" s="21" t="s">
        <v>37</v>
      </c>
      <c r="B67" s="22">
        <v>10999</v>
      </c>
      <c r="C67" s="40" t="s">
        <v>52</v>
      </c>
      <c r="D67" s="61"/>
      <c r="E67" s="57"/>
      <c r="F67" s="61"/>
      <c r="G67" s="98"/>
      <c r="H67" s="86"/>
      <c r="I67" s="86"/>
      <c r="J67" s="17"/>
    </row>
    <row r="68" spans="1:10" s="10" customFormat="1" ht="17.25" customHeight="1" hidden="1">
      <c r="A68" s="21" t="s">
        <v>37</v>
      </c>
      <c r="B68" s="22">
        <v>1219</v>
      </c>
      <c r="C68" s="40" t="s">
        <v>43</v>
      </c>
      <c r="D68" s="45"/>
      <c r="E68" s="57"/>
      <c r="F68" s="45"/>
      <c r="G68" s="97"/>
      <c r="H68" s="78"/>
      <c r="I68" s="19"/>
      <c r="J68" s="3"/>
    </row>
    <row r="69" spans="1:10" s="13" customFormat="1" ht="16.5" customHeight="1" hidden="1">
      <c r="A69" s="27" t="s">
        <v>20</v>
      </c>
      <c r="B69" s="28">
        <f>SUM(B67:B68)</f>
        <v>12218</v>
      </c>
      <c r="C69" s="94"/>
      <c r="D69" s="61"/>
      <c r="E69" s="57"/>
      <c r="F69" s="61"/>
      <c r="G69" s="98"/>
      <c r="H69" s="86"/>
      <c r="I69" s="86"/>
      <c r="J69" s="17"/>
    </row>
    <row r="70" spans="1:10" s="13" customFormat="1" ht="16.5" customHeight="1" hidden="1">
      <c r="A70" s="21" t="s">
        <v>30</v>
      </c>
      <c r="B70" s="63">
        <v>3133</v>
      </c>
      <c r="C70" s="40" t="s">
        <v>44</v>
      </c>
      <c r="D70" s="45"/>
      <c r="E70" s="57"/>
      <c r="F70" s="61"/>
      <c r="G70" s="98"/>
      <c r="H70" s="86"/>
      <c r="I70" s="86"/>
      <c r="J70" s="17"/>
    </row>
    <row r="71" spans="1:10" s="13" customFormat="1" ht="18.75" customHeight="1" hidden="1">
      <c r="A71" s="21" t="s">
        <v>30</v>
      </c>
      <c r="B71" s="63">
        <v>120</v>
      </c>
      <c r="C71" s="40" t="s">
        <v>36</v>
      </c>
      <c r="D71" s="45"/>
      <c r="E71" s="57"/>
      <c r="F71" s="61"/>
      <c r="G71" s="98"/>
      <c r="H71" s="86"/>
      <c r="I71" s="86"/>
      <c r="J71" s="17"/>
    </row>
    <row r="72" spans="1:10" s="13" customFormat="1" ht="18.75" customHeight="1" hidden="1">
      <c r="A72" s="21" t="s">
        <v>30</v>
      </c>
      <c r="B72" s="63">
        <v>210</v>
      </c>
      <c r="C72" s="40" t="s">
        <v>36</v>
      </c>
      <c r="D72" s="45"/>
      <c r="E72" s="57"/>
      <c r="F72" s="61"/>
      <c r="G72" s="98"/>
      <c r="H72" s="86"/>
      <c r="I72" s="86"/>
      <c r="J72" s="17"/>
    </row>
    <row r="73" spans="1:10" s="13" customFormat="1" ht="16.5" customHeight="1" hidden="1">
      <c r="A73" s="27" t="s">
        <v>20</v>
      </c>
      <c r="B73" s="64">
        <f>SUM(B70:B72)</f>
        <v>3463</v>
      </c>
      <c r="C73" s="94"/>
      <c r="D73" s="61"/>
      <c r="E73" s="57"/>
      <c r="F73" s="61"/>
      <c r="G73" s="98"/>
      <c r="H73" s="86"/>
      <c r="I73" s="86"/>
      <c r="J73" s="17"/>
    </row>
    <row r="74" spans="1:10" s="13" customFormat="1" ht="17.25" customHeight="1" hidden="1">
      <c r="A74" s="21" t="s">
        <v>31</v>
      </c>
      <c r="B74" s="65">
        <v>60</v>
      </c>
      <c r="C74" s="40" t="s">
        <v>48</v>
      </c>
      <c r="D74" s="65">
        <v>149639.87</v>
      </c>
      <c r="E74" s="62" t="s">
        <v>47</v>
      </c>
      <c r="F74" s="59"/>
      <c r="G74" s="98"/>
      <c r="H74" s="21"/>
      <c r="I74" s="86"/>
      <c r="J74" s="17"/>
    </row>
    <row r="75" spans="1:10" s="13" customFormat="1" ht="17.25" customHeight="1" hidden="1">
      <c r="A75" s="21" t="s">
        <v>31</v>
      </c>
      <c r="B75" s="65">
        <v>3951.33</v>
      </c>
      <c r="C75" s="40" t="s">
        <v>51</v>
      </c>
      <c r="D75" s="65"/>
      <c r="E75" s="62"/>
      <c r="F75" s="59"/>
      <c r="G75" s="164"/>
      <c r="H75" s="21"/>
      <c r="I75" s="86"/>
      <c r="J75" s="17"/>
    </row>
    <row r="76" spans="1:10" s="10" customFormat="1" ht="76.5" customHeight="1">
      <c r="A76" s="44" t="s">
        <v>37</v>
      </c>
      <c r="B76" s="174">
        <f>5803+3820+16500+2432+2570+2365</f>
        <v>33490</v>
      </c>
      <c r="C76" s="466" t="s">
        <v>234</v>
      </c>
      <c r="D76" s="45">
        <f>190+617+345</f>
        <v>1152</v>
      </c>
      <c r="E76" s="59" t="s">
        <v>213</v>
      </c>
      <c r="F76" s="45">
        <f>652.5+420.5</f>
        <v>1073</v>
      </c>
      <c r="G76" s="97" t="s">
        <v>110</v>
      </c>
      <c r="H76" s="78"/>
      <c r="I76" s="19"/>
      <c r="J76" s="3"/>
    </row>
    <row r="77" spans="1:10" s="13" customFormat="1" ht="38.25" customHeight="1">
      <c r="A77" s="27" t="s">
        <v>20</v>
      </c>
      <c r="B77" s="28">
        <f>SUM(B76:B76)</f>
        <v>33490</v>
      </c>
      <c r="C77" s="467"/>
      <c r="D77" s="57">
        <f>SUM(D76)</f>
        <v>1152</v>
      </c>
      <c r="E77" s="61"/>
      <c r="F77" s="57">
        <f>F76</f>
        <v>1073</v>
      </c>
      <c r="G77" s="98"/>
      <c r="H77" s="86"/>
      <c r="I77" s="60"/>
      <c r="J77" s="17"/>
    </row>
    <row r="78" spans="1:10" s="10" customFormat="1" ht="78" customHeight="1">
      <c r="A78" s="44" t="s">
        <v>30</v>
      </c>
      <c r="B78" s="174">
        <f>555+15220+33700</f>
        <v>49475</v>
      </c>
      <c r="C78" s="40" t="s">
        <v>246</v>
      </c>
      <c r="D78" s="45">
        <f>190+617</f>
        <v>807</v>
      </c>
      <c r="E78" s="59" t="s">
        <v>213</v>
      </c>
      <c r="F78" s="45">
        <f>304.5+290+246.5</f>
        <v>841</v>
      </c>
      <c r="G78" s="97" t="s">
        <v>110</v>
      </c>
      <c r="H78" s="78"/>
      <c r="I78" s="19"/>
      <c r="J78" s="3"/>
    </row>
    <row r="79" spans="1:10" s="13" customFormat="1" ht="18" customHeight="1">
      <c r="A79" s="27" t="s">
        <v>20</v>
      </c>
      <c r="B79" s="28">
        <f>SUM(B78:B78)</f>
        <v>49475</v>
      </c>
      <c r="C79" s="96"/>
      <c r="D79" s="57">
        <f>D78</f>
        <v>807</v>
      </c>
      <c r="E79" s="61"/>
      <c r="F79" s="57">
        <f>F78</f>
        <v>841</v>
      </c>
      <c r="G79" s="98"/>
      <c r="H79" s="86"/>
      <c r="I79" s="60"/>
      <c r="J79" s="17"/>
    </row>
    <row r="80" spans="1:10" s="10" customFormat="1" ht="63" customHeight="1">
      <c r="A80" s="21" t="s">
        <v>57</v>
      </c>
      <c r="B80" s="22"/>
      <c r="C80" s="40" t="s">
        <v>83</v>
      </c>
      <c r="D80" s="45">
        <f>190+617</f>
        <v>807</v>
      </c>
      <c r="E80" s="59" t="s">
        <v>213</v>
      </c>
      <c r="F80" s="45">
        <f>275.5+261+14.5</f>
        <v>551</v>
      </c>
      <c r="G80" s="97" t="s">
        <v>110</v>
      </c>
      <c r="H80" s="78"/>
      <c r="I80" s="19"/>
      <c r="J80" s="3"/>
    </row>
    <row r="81" spans="1:10" s="13" customFormat="1" ht="17.25" customHeight="1">
      <c r="A81" s="27" t="s">
        <v>20</v>
      </c>
      <c r="B81" s="28">
        <f>SUM(B80:B80)</f>
        <v>0</v>
      </c>
      <c r="C81" s="96"/>
      <c r="D81" s="57">
        <f>SUM(D80)</f>
        <v>807</v>
      </c>
      <c r="E81" s="61"/>
      <c r="F81" s="57">
        <f>F80</f>
        <v>551</v>
      </c>
      <c r="G81" s="98"/>
      <c r="H81" s="86"/>
      <c r="I81" s="60"/>
      <c r="J81" s="17"/>
    </row>
    <row r="82" spans="1:10" s="13" customFormat="1" ht="17.25" customHeight="1">
      <c r="A82" s="444" t="s">
        <v>31</v>
      </c>
      <c r="B82" s="464">
        <f>6531.84+1507.7+17806.6+2130.39+1184.8+2456.26+2500+500+5792.8+340</f>
        <v>40750.39</v>
      </c>
      <c r="C82" s="40" t="s">
        <v>83</v>
      </c>
      <c r="D82" s="469">
        <f>190+617</f>
        <v>807</v>
      </c>
      <c r="E82" s="471" t="s">
        <v>213</v>
      </c>
      <c r="F82" s="57"/>
      <c r="G82" s="98"/>
      <c r="H82" s="86"/>
      <c r="I82" s="60"/>
      <c r="J82" s="17"/>
    </row>
    <row r="83" spans="1:10" s="10" customFormat="1" ht="54.75" customHeight="1">
      <c r="A83" s="445"/>
      <c r="B83" s="465"/>
      <c r="C83" s="431" t="s">
        <v>247</v>
      </c>
      <c r="D83" s="470"/>
      <c r="E83" s="472"/>
      <c r="F83" s="45">
        <v>1087.5</v>
      </c>
      <c r="G83" s="97" t="s">
        <v>110</v>
      </c>
      <c r="H83" s="78"/>
      <c r="I83" s="19"/>
      <c r="J83" s="3"/>
    </row>
    <row r="84" spans="1:10" s="13" customFormat="1" ht="44.25" customHeight="1">
      <c r="A84" s="27" t="s">
        <v>20</v>
      </c>
      <c r="B84" s="28">
        <f>SUM(B82:B82)</f>
        <v>40750.39</v>
      </c>
      <c r="C84" s="433"/>
      <c r="D84" s="57">
        <f>D83+D82</f>
        <v>807</v>
      </c>
      <c r="E84" s="61"/>
      <c r="F84" s="57">
        <f>F83</f>
        <v>1087.5</v>
      </c>
      <c r="G84" s="98"/>
      <c r="H84" s="86"/>
      <c r="I84" s="60"/>
      <c r="J84" s="17"/>
    </row>
    <row r="85" spans="1:10" s="13" customFormat="1" ht="30.75" customHeight="1">
      <c r="A85" s="444" t="s">
        <v>58</v>
      </c>
      <c r="B85" s="473"/>
      <c r="C85" s="176" t="s">
        <v>83</v>
      </c>
      <c r="D85" s="175">
        <f>190+617</f>
        <v>807</v>
      </c>
      <c r="E85" s="45" t="s">
        <v>213</v>
      </c>
      <c r="F85" s="57"/>
      <c r="G85" s="98"/>
      <c r="H85" s="86"/>
      <c r="I85" s="60"/>
      <c r="J85" s="17"/>
    </row>
    <row r="86" spans="1:10" s="13" customFormat="1" ht="62.25" customHeight="1">
      <c r="A86" s="445"/>
      <c r="B86" s="474"/>
      <c r="C86" s="40"/>
      <c r="D86" s="65">
        <v>57600</v>
      </c>
      <c r="E86" s="156" t="s">
        <v>196</v>
      </c>
      <c r="F86" s="59">
        <f>261+362.5</f>
        <v>623.5</v>
      </c>
      <c r="G86" s="97" t="s">
        <v>110</v>
      </c>
      <c r="H86" s="21"/>
      <c r="I86" s="86"/>
      <c r="J86" s="17"/>
    </row>
    <row r="87" spans="1:10" s="13" customFormat="1" ht="16.5" customHeight="1">
      <c r="A87" s="27" t="s">
        <v>20</v>
      </c>
      <c r="B87" s="66">
        <f>B86</f>
        <v>0</v>
      </c>
      <c r="C87" s="94"/>
      <c r="D87" s="66">
        <f>SUM(D85:D86)</f>
        <v>58407</v>
      </c>
      <c r="E87" s="57"/>
      <c r="F87" s="61">
        <f>F86</f>
        <v>623.5</v>
      </c>
      <c r="G87" s="98"/>
      <c r="H87" s="86"/>
      <c r="I87" s="86"/>
      <c r="J87" s="17"/>
    </row>
    <row r="88" spans="1:10" s="13" customFormat="1" ht="22.5" customHeight="1">
      <c r="A88" s="444" t="s">
        <v>33</v>
      </c>
      <c r="B88" s="442">
        <f>2817.12+7270</f>
        <v>10087.119999999999</v>
      </c>
      <c r="C88" s="176" t="s">
        <v>83</v>
      </c>
      <c r="D88" s="65">
        <f>617</f>
        <v>617</v>
      </c>
      <c r="E88" s="45" t="s">
        <v>213</v>
      </c>
      <c r="F88" s="61"/>
      <c r="G88" s="98"/>
      <c r="H88" s="86"/>
      <c r="I88" s="86"/>
      <c r="J88" s="17"/>
    </row>
    <row r="89" spans="1:10" s="13" customFormat="1" ht="60.75" customHeight="1">
      <c r="A89" s="445"/>
      <c r="B89" s="443"/>
      <c r="C89" s="40" t="s">
        <v>248</v>
      </c>
      <c r="D89" s="63">
        <v>7999.68</v>
      </c>
      <c r="E89" s="44" t="s">
        <v>217</v>
      </c>
      <c r="F89" s="59">
        <v>319</v>
      </c>
      <c r="G89" s="97" t="s">
        <v>110</v>
      </c>
      <c r="H89" s="21"/>
      <c r="I89" s="86"/>
      <c r="J89" s="17"/>
    </row>
    <row r="90" spans="1:10" s="13" customFormat="1" ht="16.5" customHeight="1">
      <c r="A90" s="27" t="s">
        <v>20</v>
      </c>
      <c r="B90" s="66">
        <f>SUM(B88)</f>
        <v>10087.119999999999</v>
      </c>
      <c r="C90" s="94"/>
      <c r="D90" s="66">
        <f>SUM(D88:D89)</f>
        <v>8616.68</v>
      </c>
      <c r="E90" s="57"/>
      <c r="F90" s="61">
        <f>F89</f>
        <v>319</v>
      </c>
      <c r="G90" s="98"/>
      <c r="H90" s="86"/>
      <c r="I90" s="86"/>
      <c r="J90" s="17"/>
    </row>
    <row r="91" spans="1:10" s="13" customFormat="1" ht="58.5" customHeight="1">
      <c r="A91" s="446" t="s">
        <v>45</v>
      </c>
      <c r="B91" s="63"/>
      <c r="C91" s="40" t="s">
        <v>212</v>
      </c>
      <c r="D91" s="168">
        <v>50630</v>
      </c>
      <c r="E91" s="156" t="s">
        <v>196</v>
      </c>
      <c r="F91" s="59">
        <f>362.5+377+406</f>
        <v>1145.5</v>
      </c>
      <c r="G91" s="97" t="s">
        <v>110</v>
      </c>
      <c r="H91" s="86"/>
      <c r="I91" s="86"/>
      <c r="J91" s="17"/>
    </row>
    <row r="92" spans="1:10" s="13" customFormat="1" ht="31.5" customHeight="1">
      <c r="A92" s="447"/>
      <c r="B92" s="168">
        <v>90</v>
      </c>
      <c r="C92" s="40" t="s">
        <v>224</v>
      </c>
      <c r="D92" s="168">
        <f>190+617</f>
        <v>807</v>
      </c>
      <c r="E92" s="156" t="s">
        <v>213</v>
      </c>
      <c r="F92" s="59"/>
      <c r="G92" s="97"/>
      <c r="H92" s="86"/>
      <c r="I92" s="86"/>
      <c r="J92" s="17"/>
    </row>
    <row r="93" spans="1:10" s="13" customFormat="1" ht="16.5" customHeight="1">
      <c r="A93" s="27" t="s">
        <v>20</v>
      </c>
      <c r="B93" s="64">
        <f>B92</f>
        <v>90</v>
      </c>
      <c r="C93" s="94"/>
      <c r="D93" s="61">
        <f>SUM(D91:D92)</f>
        <v>51437</v>
      </c>
      <c r="E93" s="57"/>
      <c r="F93" s="61">
        <f>F92+F91</f>
        <v>1145.5</v>
      </c>
      <c r="G93" s="98"/>
      <c r="H93" s="86"/>
      <c r="I93" s="86"/>
      <c r="J93" s="17"/>
    </row>
    <row r="94" spans="1:10" s="13" customFormat="1" ht="68.25" customHeight="1">
      <c r="A94" s="44" t="s">
        <v>59</v>
      </c>
      <c r="B94" s="63">
        <v>540</v>
      </c>
      <c r="C94" s="40" t="s">
        <v>84</v>
      </c>
      <c r="D94" s="63">
        <f>190+617</f>
        <v>807</v>
      </c>
      <c r="E94" s="44" t="s">
        <v>213</v>
      </c>
      <c r="F94" s="59">
        <f>710.5+319</f>
        <v>1029.5</v>
      </c>
      <c r="G94" s="97" t="s">
        <v>110</v>
      </c>
      <c r="H94" s="86"/>
      <c r="I94" s="86"/>
      <c r="J94" s="17"/>
    </row>
    <row r="95" spans="1:10" s="13" customFormat="1" ht="16.5" customHeight="1">
      <c r="A95" s="27" t="s">
        <v>20</v>
      </c>
      <c r="B95" s="64">
        <f>B94</f>
        <v>540</v>
      </c>
      <c r="C95" s="94"/>
      <c r="D95" s="61">
        <f>D94</f>
        <v>807</v>
      </c>
      <c r="E95" s="59"/>
      <c r="F95" s="61">
        <f>F94</f>
        <v>1029.5</v>
      </c>
      <c r="G95" s="98"/>
      <c r="H95" s="86"/>
      <c r="I95" s="86"/>
      <c r="J95" s="17"/>
    </row>
    <row r="96" spans="1:10" s="13" customFormat="1" ht="60" customHeight="1">
      <c r="A96" s="21" t="s">
        <v>50</v>
      </c>
      <c r="B96" s="63">
        <v>12200</v>
      </c>
      <c r="C96" s="40" t="s">
        <v>243</v>
      </c>
      <c r="D96" s="63">
        <v>617</v>
      </c>
      <c r="E96" s="44"/>
      <c r="F96" s="59">
        <v>174</v>
      </c>
      <c r="G96" s="97" t="s">
        <v>110</v>
      </c>
      <c r="H96" s="86"/>
      <c r="I96" s="86"/>
      <c r="J96" s="17"/>
    </row>
    <row r="97" spans="1:10" s="13" customFormat="1" ht="16.5" customHeight="1">
      <c r="A97" s="27" t="s">
        <v>20</v>
      </c>
      <c r="B97" s="64">
        <f>SUM(B96)</f>
        <v>12200</v>
      </c>
      <c r="C97" s="94"/>
      <c r="D97" s="61">
        <f>D96</f>
        <v>617</v>
      </c>
      <c r="E97" s="59"/>
      <c r="F97" s="61">
        <f>F96</f>
        <v>174</v>
      </c>
      <c r="G97" s="98"/>
      <c r="H97" s="86"/>
      <c r="I97" s="86"/>
      <c r="J97" s="17"/>
    </row>
    <row r="98" spans="1:10" s="13" customFormat="1" ht="60.75" customHeight="1">
      <c r="A98" s="44" t="s">
        <v>60</v>
      </c>
      <c r="B98" s="63">
        <f>7980+2050</f>
        <v>10030</v>
      </c>
      <c r="C98" s="40" t="s">
        <v>236</v>
      </c>
      <c r="D98" s="63">
        <f>190+617</f>
        <v>807</v>
      </c>
      <c r="E98" s="44" t="s">
        <v>213</v>
      </c>
      <c r="F98" s="59">
        <f>246.5+319</f>
        <v>565.5</v>
      </c>
      <c r="G98" s="97" t="s">
        <v>110</v>
      </c>
      <c r="H98" s="86"/>
      <c r="I98" s="86"/>
      <c r="J98" s="17"/>
    </row>
    <row r="99" spans="1:10" s="13" customFormat="1" ht="16.5" customHeight="1">
      <c r="A99" s="27" t="s">
        <v>20</v>
      </c>
      <c r="B99" s="64">
        <f>SUM(B98)</f>
        <v>10030</v>
      </c>
      <c r="C99" s="94"/>
      <c r="D99" s="61">
        <f>D98</f>
        <v>807</v>
      </c>
      <c r="E99" s="59"/>
      <c r="F99" s="61">
        <f>F98</f>
        <v>565.5</v>
      </c>
      <c r="G99" s="98"/>
      <c r="H99" s="86"/>
      <c r="I99" s="86"/>
      <c r="J99" s="17"/>
    </row>
    <row r="100" spans="1:10" s="13" customFormat="1" ht="58.5" customHeight="1">
      <c r="A100" s="21" t="s">
        <v>61</v>
      </c>
      <c r="B100" s="168"/>
      <c r="C100" s="40" t="s">
        <v>36</v>
      </c>
      <c r="D100" s="168">
        <f>190+617</f>
        <v>807</v>
      </c>
      <c r="E100" s="44" t="s">
        <v>213</v>
      </c>
      <c r="F100" s="59">
        <v>319</v>
      </c>
      <c r="G100" s="97" t="s">
        <v>110</v>
      </c>
      <c r="H100" s="86"/>
      <c r="I100" s="86"/>
      <c r="J100" s="17"/>
    </row>
    <row r="101" spans="1:10" s="13" customFormat="1" ht="16.5" customHeight="1">
      <c r="A101" s="27" t="s">
        <v>20</v>
      </c>
      <c r="B101" s="64">
        <f>B100</f>
        <v>0</v>
      </c>
      <c r="C101" s="94"/>
      <c r="D101" s="61">
        <f>D100</f>
        <v>807</v>
      </c>
      <c r="E101" s="59"/>
      <c r="F101" s="61">
        <f>F100</f>
        <v>319</v>
      </c>
      <c r="G101" s="98"/>
      <c r="H101" s="86"/>
      <c r="I101" s="86"/>
      <c r="J101" s="17"/>
    </row>
    <row r="102" spans="1:10" s="13" customFormat="1" ht="63" customHeight="1">
      <c r="A102" s="444" t="s">
        <v>62</v>
      </c>
      <c r="B102" s="442">
        <f>11005+8600+722</f>
        <v>20327</v>
      </c>
      <c r="C102" s="120" t="s">
        <v>249</v>
      </c>
      <c r="D102" s="58"/>
      <c r="E102" s="59"/>
      <c r="F102" s="61"/>
      <c r="G102" s="98"/>
      <c r="H102" s="86"/>
      <c r="I102" s="86"/>
      <c r="J102" s="17"/>
    </row>
    <row r="103" spans="1:10" s="13" customFormat="1" ht="60" customHeight="1">
      <c r="A103" s="445"/>
      <c r="B103" s="443"/>
      <c r="C103" s="40" t="s">
        <v>84</v>
      </c>
      <c r="D103" s="63">
        <f>190+617</f>
        <v>807</v>
      </c>
      <c r="E103" s="44" t="s">
        <v>213</v>
      </c>
      <c r="F103" s="59">
        <v>1566</v>
      </c>
      <c r="G103" s="97" t="s">
        <v>110</v>
      </c>
      <c r="H103" s="86"/>
      <c r="I103" s="86"/>
      <c r="J103" s="17"/>
    </row>
    <row r="104" spans="1:10" s="13" customFormat="1" ht="16.5" customHeight="1">
      <c r="A104" s="27" t="s">
        <v>20</v>
      </c>
      <c r="B104" s="64">
        <f>SUM(B102)</f>
        <v>20327</v>
      </c>
      <c r="C104" s="94"/>
      <c r="D104" s="61">
        <f>SUM(D103)</f>
        <v>807</v>
      </c>
      <c r="E104" s="57"/>
      <c r="F104" s="61">
        <f>F103</f>
        <v>1566</v>
      </c>
      <c r="G104" s="98"/>
      <c r="H104" s="86"/>
      <c r="I104" s="86"/>
      <c r="J104" s="17"/>
    </row>
    <row r="105" spans="1:10" s="13" customFormat="1" ht="59.25" customHeight="1">
      <c r="A105" s="21" t="s">
        <v>46</v>
      </c>
      <c r="B105" s="63">
        <v>12843.8</v>
      </c>
      <c r="C105" s="40" t="s">
        <v>251</v>
      </c>
      <c r="D105" s="63">
        <f>617+190</f>
        <v>807</v>
      </c>
      <c r="E105" s="44" t="s">
        <v>213</v>
      </c>
      <c r="F105" s="59">
        <v>739.5</v>
      </c>
      <c r="G105" s="97" t="s">
        <v>110</v>
      </c>
      <c r="H105" s="86"/>
      <c r="I105" s="86"/>
      <c r="J105" s="17"/>
    </row>
    <row r="106" spans="1:10" s="13" customFormat="1" ht="16.5" customHeight="1">
      <c r="A106" s="27" t="s">
        <v>20</v>
      </c>
      <c r="B106" s="64">
        <f>B105</f>
        <v>12843.8</v>
      </c>
      <c r="C106" s="94"/>
      <c r="D106" s="61">
        <f>D105</f>
        <v>807</v>
      </c>
      <c r="E106" s="57"/>
      <c r="F106" s="61">
        <f>F105</f>
        <v>739.5</v>
      </c>
      <c r="G106" s="98"/>
      <c r="H106" s="86"/>
      <c r="I106" s="86"/>
      <c r="J106" s="17"/>
    </row>
    <row r="107" spans="1:10" s="13" customFormat="1" ht="62.25" customHeight="1">
      <c r="A107" s="21" t="s">
        <v>63</v>
      </c>
      <c r="B107" s="63"/>
      <c r="C107" s="40" t="s">
        <v>84</v>
      </c>
      <c r="D107" s="63">
        <f>190+617</f>
        <v>807</v>
      </c>
      <c r="E107" s="44" t="s">
        <v>213</v>
      </c>
      <c r="F107" s="59">
        <f>348+507.5</f>
        <v>855.5</v>
      </c>
      <c r="G107" s="97" t="s">
        <v>110</v>
      </c>
      <c r="H107" s="86"/>
      <c r="I107" s="86"/>
      <c r="J107" s="17"/>
    </row>
    <row r="108" spans="1:10" s="13" customFormat="1" ht="16.5" customHeight="1">
      <c r="A108" s="27" t="s">
        <v>20</v>
      </c>
      <c r="B108" s="64">
        <f>B107</f>
        <v>0</v>
      </c>
      <c r="C108" s="94"/>
      <c r="D108" s="61">
        <f>SUM(D107)</f>
        <v>807</v>
      </c>
      <c r="E108" s="57"/>
      <c r="F108" s="61">
        <f>F107</f>
        <v>855.5</v>
      </c>
      <c r="G108" s="98"/>
      <c r="H108" s="86"/>
      <c r="I108" s="86"/>
      <c r="J108" s="17"/>
    </row>
    <row r="109" spans="1:10" s="13" customFormat="1" ht="43.5" customHeight="1">
      <c r="A109" s="21" t="s">
        <v>53</v>
      </c>
      <c r="B109" s="63"/>
      <c r="C109" s="40"/>
      <c r="D109" s="63"/>
      <c r="E109" s="62"/>
      <c r="F109" s="59"/>
      <c r="G109" s="165"/>
      <c r="H109" s="86"/>
      <c r="I109" s="86"/>
      <c r="J109" s="17"/>
    </row>
    <row r="110" spans="1:10" s="13" customFormat="1" ht="16.5" customHeight="1">
      <c r="A110" s="27" t="s">
        <v>20</v>
      </c>
      <c r="B110" s="64">
        <f>B109</f>
        <v>0</v>
      </c>
      <c r="C110" s="94"/>
      <c r="D110" s="60"/>
      <c r="E110" s="57"/>
      <c r="F110" s="61"/>
      <c r="G110" s="98"/>
      <c r="H110" s="86"/>
      <c r="I110" s="86"/>
      <c r="J110" s="17"/>
    </row>
    <row r="111" spans="1:10" s="13" customFormat="1" ht="19.5" customHeight="1">
      <c r="A111" s="21" t="s">
        <v>54</v>
      </c>
      <c r="B111" s="63"/>
      <c r="C111" s="40"/>
      <c r="D111" s="63"/>
      <c r="E111" s="62"/>
      <c r="F111" s="59"/>
      <c r="G111" s="165"/>
      <c r="H111" s="86"/>
      <c r="I111" s="86"/>
      <c r="J111" s="17"/>
    </row>
    <row r="112" spans="1:10" s="13" customFormat="1" ht="16.5" customHeight="1">
      <c r="A112" s="27" t="s">
        <v>20</v>
      </c>
      <c r="B112" s="64">
        <f>B111</f>
        <v>0</v>
      </c>
      <c r="C112" s="94"/>
      <c r="D112" s="60"/>
      <c r="E112" s="57"/>
      <c r="F112" s="61"/>
      <c r="G112" s="98"/>
      <c r="H112" s="86"/>
      <c r="I112" s="86"/>
      <c r="J112" s="17"/>
    </row>
    <row r="113" spans="1:10" s="13" customFormat="1" ht="19.5" customHeight="1">
      <c r="A113" s="21" t="s">
        <v>66</v>
      </c>
      <c r="B113" s="63"/>
      <c r="C113" s="40"/>
      <c r="D113" s="63"/>
      <c r="E113" s="62"/>
      <c r="F113" s="59"/>
      <c r="G113" s="165"/>
      <c r="H113" s="86"/>
      <c r="I113" s="86"/>
      <c r="J113" s="17"/>
    </row>
    <row r="114" spans="1:10" s="13" customFormat="1" ht="16.5" customHeight="1">
      <c r="A114" s="27" t="s">
        <v>20</v>
      </c>
      <c r="B114" s="64">
        <f>B113</f>
        <v>0</v>
      </c>
      <c r="C114" s="94"/>
      <c r="D114" s="60"/>
      <c r="E114" s="57"/>
      <c r="F114" s="61"/>
      <c r="G114" s="98"/>
      <c r="H114" s="86"/>
      <c r="I114" s="86"/>
      <c r="J114" s="17"/>
    </row>
    <row r="115" spans="1:10" s="13" customFormat="1" ht="19.5" customHeight="1">
      <c r="A115" s="21" t="s">
        <v>67</v>
      </c>
      <c r="B115" s="63"/>
      <c r="C115" s="40"/>
      <c r="D115" s="63"/>
      <c r="E115" s="62"/>
      <c r="F115" s="59"/>
      <c r="G115" s="165"/>
      <c r="H115" s="86"/>
      <c r="I115" s="86"/>
      <c r="J115" s="17"/>
    </row>
    <row r="116" spans="1:10" s="13" customFormat="1" ht="16.5" customHeight="1">
      <c r="A116" s="27" t="s">
        <v>20</v>
      </c>
      <c r="B116" s="64">
        <f>SUM(B115)</f>
        <v>0</v>
      </c>
      <c r="C116" s="94"/>
      <c r="D116" s="60"/>
      <c r="E116" s="57"/>
      <c r="F116" s="61"/>
      <c r="G116" s="98"/>
      <c r="H116" s="86"/>
      <c r="I116" s="86"/>
      <c r="J116" s="17"/>
    </row>
    <row r="117" spans="1:10" s="13" customFormat="1" ht="19.5" customHeight="1">
      <c r="A117" s="21" t="s">
        <v>64</v>
      </c>
      <c r="B117" s="63">
        <v>30.87</v>
      </c>
      <c r="C117" s="40" t="s">
        <v>250</v>
      </c>
      <c r="D117" s="63"/>
      <c r="E117" s="62"/>
      <c r="F117" s="59"/>
      <c r="G117" s="165"/>
      <c r="H117" s="86"/>
      <c r="I117" s="86"/>
      <c r="J117" s="17"/>
    </row>
    <row r="118" spans="1:10" s="13" customFormat="1" ht="16.5" customHeight="1">
      <c r="A118" s="27" t="s">
        <v>20</v>
      </c>
      <c r="B118" s="64">
        <f>B117</f>
        <v>30.87</v>
      </c>
      <c r="C118" s="94"/>
      <c r="D118" s="60"/>
      <c r="E118" s="57"/>
      <c r="F118" s="61"/>
      <c r="G118" s="98"/>
      <c r="H118" s="86"/>
      <c r="I118" s="86"/>
      <c r="J118" s="17"/>
    </row>
    <row r="119" spans="1:10" s="13" customFormat="1" ht="37.5" customHeight="1">
      <c r="A119" s="21" t="s">
        <v>56</v>
      </c>
      <c r="B119" s="63"/>
      <c r="C119" s="40"/>
      <c r="D119" s="63"/>
      <c r="E119" s="62"/>
      <c r="F119" s="59"/>
      <c r="G119" s="98"/>
      <c r="H119" s="86"/>
      <c r="I119" s="86"/>
      <c r="J119" s="17"/>
    </row>
    <row r="120" spans="1:10" s="13" customFormat="1" ht="37.5" customHeight="1">
      <c r="A120" s="180" t="s">
        <v>20</v>
      </c>
      <c r="B120" s="63"/>
      <c r="C120" s="40"/>
      <c r="D120" s="181"/>
      <c r="E120" s="62"/>
      <c r="F120" s="59"/>
      <c r="G120" s="98"/>
      <c r="H120" s="86"/>
      <c r="I120" s="86"/>
      <c r="J120" s="17"/>
    </row>
    <row r="121" spans="1:10" s="13" customFormat="1" ht="97.5" customHeight="1">
      <c r="A121" s="21" t="s">
        <v>111</v>
      </c>
      <c r="B121" s="63"/>
      <c r="C121" s="40"/>
      <c r="D121" s="181"/>
      <c r="E121" s="62"/>
      <c r="F121" s="59"/>
      <c r="G121" s="98"/>
      <c r="H121" s="43">
        <v>30072</v>
      </c>
      <c r="I121" s="97" t="s">
        <v>252</v>
      </c>
      <c r="J121" s="17"/>
    </row>
    <row r="122" spans="1:10" s="13" customFormat="1" ht="68.25" customHeight="1" thickBot="1">
      <c r="A122" s="27" t="s">
        <v>20</v>
      </c>
      <c r="B122" s="28"/>
      <c r="C122" s="94"/>
      <c r="D122" s="87"/>
      <c r="E122" s="57"/>
      <c r="F122" s="61"/>
      <c r="G122" s="98"/>
      <c r="H122" s="74">
        <f>H121</f>
        <v>30072</v>
      </c>
      <c r="I122" s="86"/>
      <c r="J122" s="17"/>
    </row>
    <row r="123" spans="1:9" s="18" customFormat="1" ht="77.25" customHeight="1" thickBot="1">
      <c r="A123" s="67" t="s">
        <v>70</v>
      </c>
      <c r="B123" s="68">
        <f>SUM(B52+B54+B57+B59+B61+B63+B65+B77+B79+B81+B84+B87+B90+B93+B95+B97+B99+B101+B104+B106+B108+B110+B112+B114+B116+B118+B122)</f>
        <v>255778.88</v>
      </c>
      <c r="C123" s="68"/>
      <c r="D123" s="68">
        <f>SUM(D52+D54+D57+D59+D61+D63+D65+D77+D79+D81+D84+D87+D90+D93+D95+D97+D99+D101+D104+D106+D108+D110+D112+D114+D116+D118+D122)</f>
        <v>213553.71</v>
      </c>
      <c r="E123" s="68"/>
      <c r="F123" s="68">
        <f>F54+F59+F61+F63+F65+F77+F79+H109+F87+F90+F93+F95+F97+F99+F101+F104+F106+F108+F122+F57+F81+F84</f>
        <v>15312</v>
      </c>
      <c r="G123" s="104"/>
      <c r="H123" s="68">
        <f>H65+H122</f>
        <v>30072</v>
      </c>
      <c r="I123" s="68"/>
    </row>
    <row r="124" spans="1:9" s="18" customFormat="1" ht="93.75" customHeight="1" thickBot="1">
      <c r="A124" s="69" t="s">
        <v>69</v>
      </c>
      <c r="B124" s="70">
        <f>SUM(B50+B123)</f>
        <v>450671.08999999997</v>
      </c>
      <c r="C124" s="70"/>
      <c r="D124" s="70">
        <f>D123+D50</f>
        <v>213553.71</v>
      </c>
      <c r="E124" s="70"/>
      <c r="F124" s="70">
        <f>F50+F123</f>
        <v>21807</v>
      </c>
      <c r="G124" s="105"/>
      <c r="H124" s="70">
        <f>H50+H123</f>
        <v>30072</v>
      </c>
      <c r="I124" s="70"/>
    </row>
    <row r="125" spans="1:10" s="8" customFormat="1" ht="24" customHeight="1">
      <c r="A125" s="108" t="s">
        <v>93</v>
      </c>
      <c r="B125" s="108"/>
      <c r="C125" s="108"/>
      <c r="D125" s="88"/>
      <c r="E125" s="89"/>
      <c r="F125" s="88"/>
      <c r="G125" s="88"/>
      <c r="H125" s="71"/>
      <c r="I125" s="71"/>
      <c r="J125" s="7"/>
    </row>
    <row r="126" spans="1:10" s="8" customFormat="1" ht="24" customHeight="1">
      <c r="A126" s="89" t="s">
        <v>94</v>
      </c>
      <c r="B126" s="89"/>
      <c r="C126" s="89"/>
      <c r="D126" s="88"/>
      <c r="E126" s="89"/>
      <c r="F126" s="88"/>
      <c r="G126" s="89" t="s">
        <v>95</v>
      </c>
      <c r="H126" s="71"/>
      <c r="I126" s="71"/>
      <c r="J126" s="7"/>
    </row>
    <row r="127" spans="1:10" ht="15.75" customHeight="1">
      <c r="A127" s="90"/>
      <c r="B127" s="90"/>
      <c r="C127" s="91"/>
      <c r="D127" s="92"/>
      <c r="E127" s="93"/>
      <c r="F127" s="90"/>
      <c r="G127" s="90"/>
      <c r="H127" s="73"/>
      <c r="I127" s="73"/>
      <c r="J127" s="2"/>
    </row>
    <row r="128" spans="1:10" ht="11.25" customHeight="1">
      <c r="A128" s="90"/>
      <c r="B128" s="90"/>
      <c r="C128" s="91"/>
      <c r="D128" s="92"/>
      <c r="E128" s="93"/>
      <c r="F128" s="90"/>
      <c r="G128" s="90"/>
      <c r="H128" s="73"/>
      <c r="I128" s="73"/>
      <c r="J128" s="2"/>
    </row>
    <row r="129" spans="1:10" ht="20.25" customHeight="1">
      <c r="A129" s="90" t="s">
        <v>35</v>
      </c>
      <c r="B129" s="90"/>
      <c r="C129" s="91"/>
      <c r="D129" s="92"/>
      <c r="E129" s="93"/>
      <c r="F129" s="90"/>
      <c r="G129" s="90" t="s">
        <v>106</v>
      </c>
      <c r="H129" s="73"/>
      <c r="I129" s="73"/>
      <c r="J129" s="2"/>
    </row>
    <row r="130" spans="1:10" ht="20.25" customHeight="1">
      <c r="A130" s="90"/>
      <c r="B130" s="90"/>
      <c r="C130" s="91"/>
      <c r="D130" s="92"/>
      <c r="E130" s="93"/>
      <c r="F130" s="90"/>
      <c r="G130" s="90"/>
      <c r="H130" s="73"/>
      <c r="I130" s="73"/>
      <c r="J130" s="2"/>
    </row>
    <row r="131" spans="1:10" ht="14.25" customHeight="1">
      <c r="A131" s="91"/>
      <c r="B131" s="92"/>
      <c r="C131" s="91"/>
      <c r="D131" s="92"/>
      <c r="E131" s="90"/>
      <c r="F131" s="92"/>
      <c r="G131" s="92"/>
      <c r="H131" s="73"/>
      <c r="I131" s="73"/>
      <c r="J131" s="2"/>
    </row>
    <row r="132" spans="1:10" ht="20.25" customHeight="1">
      <c r="A132" s="91" t="s">
        <v>228</v>
      </c>
      <c r="B132" s="92"/>
      <c r="C132" s="91"/>
      <c r="D132" s="92"/>
      <c r="E132" s="90"/>
      <c r="F132" s="92"/>
      <c r="G132" s="92"/>
      <c r="H132" s="73"/>
      <c r="I132" s="73"/>
      <c r="J132" s="2"/>
    </row>
    <row r="133" spans="1:10" ht="20.25" customHeight="1">
      <c r="A133" s="91" t="s">
        <v>229</v>
      </c>
      <c r="B133" s="92"/>
      <c r="C133" s="91"/>
      <c r="D133" s="92"/>
      <c r="E133" s="90"/>
      <c r="F133" s="92"/>
      <c r="G133" s="92"/>
      <c r="H133" s="73"/>
      <c r="I133" s="73"/>
      <c r="J133" s="2"/>
    </row>
    <row r="134" spans="1:10" ht="12" customHeight="1">
      <c r="A134" s="2"/>
      <c r="B134" s="2"/>
      <c r="C134" s="6"/>
      <c r="D134" s="2"/>
      <c r="E134" s="2"/>
      <c r="F134" s="2"/>
      <c r="G134" s="2"/>
      <c r="H134" s="2"/>
      <c r="I134" s="2"/>
      <c r="J134" s="2"/>
    </row>
    <row r="135" spans="1:10" ht="15">
      <c r="A135" s="2"/>
      <c r="B135" s="2"/>
      <c r="C135" s="6"/>
      <c r="D135" s="2"/>
      <c r="E135" s="2"/>
      <c r="F135" s="2"/>
      <c r="G135" s="2"/>
      <c r="H135" s="2"/>
      <c r="I135" s="2"/>
      <c r="J135" s="2"/>
    </row>
    <row r="136" spans="1:9" ht="15">
      <c r="A136" s="3"/>
      <c r="B136" s="2"/>
      <c r="C136" s="6"/>
      <c r="D136" s="2"/>
      <c r="E136" s="2"/>
      <c r="F136" s="2"/>
      <c r="G136" s="2"/>
      <c r="H136" s="2"/>
      <c r="I136" s="2"/>
    </row>
  </sheetData>
  <sheetProtection/>
  <mergeCells count="51">
    <mergeCell ref="B88:B89"/>
    <mergeCell ref="A88:A89"/>
    <mergeCell ref="D82:D83"/>
    <mergeCell ref="E82:E83"/>
    <mergeCell ref="A85:A86"/>
    <mergeCell ref="B85:B86"/>
    <mergeCell ref="A55:A56"/>
    <mergeCell ref="C64:C65"/>
    <mergeCell ref="C48:C49"/>
    <mergeCell ref="A31:A32"/>
    <mergeCell ref="B31:B32"/>
    <mergeCell ref="C51:C52"/>
    <mergeCell ref="C53:C54"/>
    <mergeCell ref="B55:B56"/>
    <mergeCell ref="C46:C47"/>
    <mergeCell ref="C28:C29"/>
    <mergeCell ref="C36:C37"/>
    <mergeCell ref="B82:B83"/>
    <mergeCell ref="C76:C77"/>
    <mergeCell ref="C83:C84"/>
    <mergeCell ref="C31:C33"/>
    <mergeCell ref="G4:I4"/>
    <mergeCell ref="A5:I5"/>
    <mergeCell ref="F8:I8"/>
    <mergeCell ref="A12:A13"/>
    <mergeCell ref="B12:B13"/>
    <mergeCell ref="A6:I6"/>
    <mergeCell ref="A7:I7"/>
    <mergeCell ref="B9:C10"/>
    <mergeCell ref="D9:E10"/>
    <mergeCell ref="F9:G10"/>
    <mergeCell ref="H23:H24"/>
    <mergeCell ref="I23:I24"/>
    <mergeCell ref="A8:A11"/>
    <mergeCell ref="B8:E8"/>
    <mergeCell ref="D23:D24"/>
    <mergeCell ref="F23:F24"/>
    <mergeCell ref="H9:I10"/>
    <mergeCell ref="C12:C13"/>
    <mergeCell ref="B23:B24"/>
    <mergeCell ref="A23:A24"/>
    <mergeCell ref="B102:B103"/>
    <mergeCell ref="A102:A103"/>
    <mergeCell ref="A82:A83"/>
    <mergeCell ref="G23:G24"/>
    <mergeCell ref="A91:A92"/>
    <mergeCell ref="E23:E24"/>
    <mergeCell ref="A28:A29"/>
    <mergeCell ref="B28:B29"/>
    <mergeCell ref="C23:C24"/>
    <mergeCell ref="C44:C45"/>
  </mergeCells>
  <printOptions/>
  <pageMargins left="0.7874015748031497" right="0.3937007874015748" top="0.3937007874015748" bottom="0.3937007874015748" header="0.31496062992125984" footer="0.31496062992125984"/>
  <pageSetup horizontalDpi="180" verticalDpi="180" orientation="portrait" paperSize="9" scale="45" r:id="rId1"/>
  <rowBreaks count="3" manualBreakCount="3">
    <brk id="63" max="8" man="1"/>
    <brk id="134" max="8" man="1"/>
    <brk id="171" max="8" man="1"/>
  </rowBreaks>
</worksheet>
</file>

<file path=xl/worksheets/sheet12.xml><?xml version="1.0" encoding="utf-8"?>
<worksheet xmlns="http://schemas.openxmlformats.org/spreadsheetml/2006/main" xmlns:r="http://schemas.openxmlformats.org/officeDocument/2006/relationships">
  <dimension ref="A1:K173"/>
  <sheetViews>
    <sheetView showGridLines="0" zoomScaleSheetLayoutView="75" zoomScalePageLayoutView="0" workbookViewId="0" topLeftCell="A137">
      <selection activeCell="E141" sqref="E141"/>
    </sheetView>
  </sheetViews>
  <sheetFormatPr defaultColWidth="9.140625" defaultRowHeight="15"/>
  <cols>
    <col min="1" max="1" width="16.7109375" style="1" customWidth="1"/>
    <col min="2" max="2" width="21.7109375" style="1" customWidth="1"/>
    <col min="3" max="3" width="27.7109375" style="5" customWidth="1"/>
    <col min="4" max="4" width="14.57421875" style="1" customWidth="1"/>
    <col min="5" max="5" width="19.28125" style="1" customWidth="1"/>
    <col min="6" max="6" width="16.140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480" t="s">
        <v>75</v>
      </c>
      <c r="H1" s="480"/>
      <c r="I1" s="480"/>
    </row>
    <row r="2" spans="3:9" ht="18" customHeight="1">
      <c r="C2" s="1"/>
      <c r="G2" s="107"/>
      <c r="H2" s="480" t="s">
        <v>74</v>
      </c>
      <c r="I2" s="480"/>
    </row>
    <row r="3" spans="3:9" ht="16.5" customHeight="1">
      <c r="C3" s="1"/>
      <c r="G3" s="480" t="s">
        <v>76</v>
      </c>
      <c r="H3" s="480"/>
      <c r="I3" s="480"/>
    </row>
    <row r="4" spans="3:9" ht="15.75">
      <c r="C4" s="1"/>
      <c r="G4" s="363"/>
      <c r="H4" s="363"/>
      <c r="I4" s="363"/>
    </row>
    <row r="5" spans="1:9" ht="15.75">
      <c r="A5" s="364" t="s">
        <v>26</v>
      </c>
      <c r="B5" s="364"/>
      <c r="C5" s="364"/>
      <c r="D5" s="364"/>
      <c r="E5" s="364"/>
      <c r="F5" s="364"/>
      <c r="G5" s="364"/>
      <c r="H5" s="364"/>
      <c r="I5" s="364"/>
    </row>
    <row r="6" spans="1:9" ht="15.75">
      <c r="A6" s="364" t="s">
        <v>186</v>
      </c>
      <c r="B6" s="364"/>
      <c r="C6" s="364"/>
      <c r="D6" s="364"/>
      <c r="E6" s="364"/>
      <c r="F6" s="364"/>
      <c r="G6" s="364"/>
      <c r="H6" s="364"/>
      <c r="I6" s="364"/>
    </row>
    <row r="7" spans="1:9" s="4" customFormat="1" ht="15.75">
      <c r="A7" s="364" t="s">
        <v>27</v>
      </c>
      <c r="B7" s="364"/>
      <c r="C7" s="364"/>
      <c r="D7" s="364"/>
      <c r="E7" s="364"/>
      <c r="F7" s="364"/>
      <c r="G7" s="364"/>
      <c r="H7" s="364"/>
      <c r="I7" s="364"/>
    </row>
    <row r="8" spans="1:10" s="122" customFormat="1" ht="16.5" customHeight="1">
      <c r="A8" s="420" t="s">
        <v>28</v>
      </c>
      <c r="B8" s="420" t="s">
        <v>0</v>
      </c>
      <c r="C8" s="420"/>
      <c r="D8" s="420"/>
      <c r="E8" s="420"/>
      <c r="F8" s="458" t="s">
        <v>1</v>
      </c>
      <c r="G8" s="459"/>
      <c r="H8" s="459"/>
      <c r="I8" s="460"/>
      <c r="J8" s="121"/>
    </row>
    <row r="9" spans="1:10" s="122" customFormat="1" ht="13.5" customHeight="1">
      <c r="A9" s="420"/>
      <c r="B9" s="420" t="s">
        <v>2</v>
      </c>
      <c r="C9" s="420"/>
      <c r="D9" s="420" t="s">
        <v>23</v>
      </c>
      <c r="E9" s="420"/>
      <c r="F9" s="452" t="s">
        <v>2</v>
      </c>
      <c r="G9" s="461"/>
      <c r="H9" s="452" t="s">
        <v>3</v>
      </c>
      <c r="I9" s="453"/>
      <c r="J9" s="121"/>
    </row>
    <row r="10" spans="1:10" s="122" customFormat="1" ht="18" customHeight="1">
      <c r="A10" s="420"/>
      <c r="B10" s="420"/>
      <c r="C10" s="420"/>
      <c r="D10" s="420"/>
      <c r="E10" s="420"/>
      <c r="F10" s="462"/>
      <c r="G10" s="463"/>
      <c r="H10" s="454"/>
      <c r="I10" s="455"/>
      <c r="J10" s="121"/>
    </row>
    <row r="11" spans="1:10" s="122" customFormat="1" ht="67.5" customHeight="1">
      <c r="A11" s="420"/>
      <c r="B11" s="19" t="s">
        <v>22</v>
      </c>
      <c r="C11" s="20" t="s">
        <v>4</v>
      </c>
      <c r="D11" s="19" t="s">
        <v>22</v>
      </c>
      <c r="E11" s="19" t="s">
        <v>5</v>
      </c>
      <c r="F11" s="19" t="s">
        <v>22</v>
      </c>
      <c r="G11" s="19" t="s">
        <v>4</v>
      </c>
      <c r="H11" s="19" t="s">
        <v>22</v>
      </c>
      <c r="I11" s="19" t="s">
        <v>6</v>
      </c>
      <c r="J11" s="121"/>
    </row>
    <row r="12" spans="1:10" s="122" customFormat="1" ht="34.5" customHeight="1">
      <c r="A12" s="448" t="s">
        <v>24</v>
      </c>
      <c r="B12" s="481">
        <f>16314.9+9550+161.4+1280+204+1250+1969.8+314.5</f>
        <v>31044.600000000002</v>
      </c>
      <c r="C12" s="475" t="s">
        <v>178</v>
      </c>
      <c r="D12" s="23"/>
      <c r="E12" s="24"/>
      <c r="F12" s="25"/>
      <c r="G12" s="97"/>
      <c r="H12" s="26"/>
      <c r="I12" s="26"/>
      <c r="J12" s="121"/>
    </row>
    <row r="13" spans="1:10" s="122" customFormat="1" ht="10.5" customHeight="1" hidden="1">
      <c r="A13" s="449"/>
      <c r="B13" s="482"/>
      <c r="C13" s="476"/>
      <c r="D13" s="23"/>
      <c r="E13" s="106"/>
      <c r="F13" s="25"/>
      <c r="G13" s="97"/>
      <c r="H13" s="26"/>
      <c r="I13" s="26"/>
      <c r="J13" s="121"/>
    </row>
    <row r="14" spans="1:11" s="125" customFormat="1" ht="48.75" customHeight="1">
      <c r="A14" s="27" t="s">
        <v>19</v>
      </c>
      <c r="B14" s="28">
        <f>SUM(B12:B13)</f>
        <v>31044.600000000002</v>
      </c>
      <c r="C14" s="477"/>
      <c r="D14" s="29"/>
      <c r="E14" s="30"/>
      <c r="F14" s="31"/>
      <c r="G14" s="98"/>
      <c r="H14" s="27"/>
      <c r="I14" s="27"/>
      <c r="J14" s="123"/>
      <c r="K14" s="124"/>
    </row>
    <row r="15" spans="1:11" s="122" customFormat="1" ht="37.5" customHeight="1">
      <c r="A15" s="21" t="s">
        <v>7</v>
      </c>
      <c r="B15" s="22">
        <f>3392.04+80.4+621.2+273.86+6558+125.6+2537.97+13440+405</f>
        <v>27434.07</v>
      </c>
      <c r="C15" s="478" t="s">
        <v>157</v>
      </c>
      <c r="D15" s="32"/>
      <c r="E15" s="33"/>
      <c r="F15" s="25"/>
      <c r="G15" s="97"/>
      <c r="H15" s="26"/>
      <c r="I15" s="26"/>
      <c r="J15" s="121"/>
      <c r="K15" s="126"/>
    </row>
    <row r="16" spans="1:11" s="125" customFormat="1" ht="19.5" customHeight="1">
      <c r="A16" s="27" t="s">
        <v>19</v>
      </c>
      <c r="B16" s="28">
        <f>SUM(B15)</f>
        <v>27434.07</v>
      </c>
      <c r="C16" s="479"/>
      <c r="D16" s="34"/>
      <c r="E16" s="30"/>
      <c r="F16" s="31"/>
      <c r="G16" s="98"/>
      <c r="H16" s="27"/>
      <c r="I16" s="27"/>
      <c r="J16" s="123"/>
      <c r="K16" s="124"/>
    </row>
    <row r="17" spans="1:11" s="125" customFormat="1" ht="20.25" customHeight="1">
      <c r="A17" s="35" t="s">
        <v>32</v>
      </c>
      <c r="B17" s="22">
        <f>91632.87+128+236+862.5+137.6+130+210.6</f>
        <v>93337.57</v>
      </c>
      <c r="C17" s="478" t="s">
        <v>123</v>
      </c>
      <c r="D17" s="21"/>
      <c r="E17" s="33"/>
      <c r="F17" s="36">
        <f>7907+1450</f>
        <v>9357</v>
      </c>
      <c r="G17" s="97"/>
      <c r="H17" s="27"/>
      <c r="I17" s="27"/>
      <c r="J17" s="123"/>
      <c r="K17" s="124"/>
    </row>
    <row r="18" spans="1:11" s="125" customFormat="1" ht="35.25" customHeight="1">
      <c r="A18" s="27" t="s">
        <v>19</v>
      </c>
      <c r="B18" s="28">
        <f>SUM(B17)</f>
        <v>93337.57</v>
      </c>
      <c r="C18" s="479"/>
      <c r="D18" s="29"/>
      <c r="E18" s="30"/>
      <c r="F18" s="37">
        <f>F17</f>
        <v>9357</v>
      </c>
      <c r="G18" s="98"/>
      <c r="H18" s="27"/>
      <c r="I18" s="27"/>
      <c r="J18" s="123"/>
      <c r="K18" s="124"/>
    </row>
    <row r="19" spans="1:11" s="122" customFormat="1" ht="21" customHeight="1">
      <c r="A19" s="21" t="s">
        <v>55</v>
      </c>
      <c r="B19" s="22">
        <f>10132+345</f>
        <v>10477</v>
      </c>
      <c r="C19" s="478" t="s">
        <v>96</v>
      </c>
      <c r="D19" s="38"/>
      <c r="E19" s="39"/>
      <c r="F19" s="25"/>
      <c r="G19" s="97"/>
      <c r="H19" s="26"/>
      <c r="I19" s="26"/>
      <c r="J19" s="121"/>
      <c r="K19" s="126"/>
    </row>
    <row r="20" spans="1:11" s="125" customFormat="1" ht="17.25" customHeight="1">
      <c r="A20" s="27" t="s">
        <v>20</v>
      </c>
      <c r="B20" s="28">
        <f>B19</f>
        <v>10477</v>
      </c>
      <c r="C20" s="479"/>
      <c r="D20" s="23"/>
      <c r="E20" s="33"/>
      <c r="F20" s="31"/>
      <c r="G20" s="98"/>
      <c r="H20" s="27"/>
      <c r="I20" s="27"/>
      <c r="J20" s="123"/>
      <c r="K20" s="124"/>
    </row>
    <row r="21" spans="1:11" s="122" customFormat="1" ht="20.25" customHeight="1">
      <c r="A21" s="21" t="s">
        <v>8</v>
      </c>
      <c r="B21" s="22">
        <f>23945+3171.5</f>
        <v>27116.5</v>
      </c>
      <c r="C21" s="478" t="s">
        <v>116</v>
      </c>
      <c r="D21" s="38"/>
      <c r="E21" s="39"/>
      <c r="F21" s="25"/>
      <c r="G21" s="97"/>
      <c r="H21" s="41"/>
      <c r="I21" s="97"/>
      <c r="J21" s="121"/>
      <c r="K21" s="126"/>
    </row>
    <row r="22" spans="1:11" s="125" customFormat="1" ht="36" customHeight="1">
      <c r="A22" s="27" t="s">
        <v>20</v>
      </c>
      <c r="B22" s="28">
        <f>B21</f>
        <v>27116.5</v>
      </c>
      <c r="C22" s="479"/>
      <c r="D22" s="109"/>
      <c r="E22" s="112"/>
      <c r="F22" s="113"/>
      <c r="G22" s="110"/>
      <c r="H22" s="114">
        <f>H21</f>
        <v>0</v>
      </c>
      <c r="I22" s="115"/>
      <c r="J22" s="123"/>
      <c r="K22" s="124"/>
    </row>
    <row r="23" spans="1:11" s="125" customFormat="1" ht="20.25" customHeight="1">
      <c r="A23" s="448" t="s">
        <v>9</v>
      </c>
      <c r="B23" s="450">
        <f>108539+2800+5200+21823+13000+2217+391</f>
        <v>153970</v>
      </c>
      <c r="C23" s="478" t="s">
        <v>133</v>
      </c>
      <c r="D23" s="428"/>
      <c r="E23" s="429"/>
      <c r="F23" s="430"/>
      <c r="G23" s="427"/>
      <c r="H23" s="426"/>
      <c r="I23" s="426"/>
      <c r="J23" s="123"/>
      <c r="K23" s="124"/>
    </row>
    <row r="24" spans="1:11" s="125" customFormat="1" ht="8.25" customHeight="1">
      <c r="A24" s="449"/>
      <c r="B24" s="451"/>
      <c r="C24" s="483"/>
      <c r="D24" s="428"/>
      <c r="E24" s="429"/>
      <c r="F24" s="430"/>
      <c r="G24" s="427"/>
      <c r="H24" s="426"/>
      <c r="I24" s="426"/>
      <c r="J24" s="123"/>
      <c r="K24" s="124"/>
    </row>
    <row r="25" spans="1:11" s="125" customFormat="1" ht="38.25" customHeight="1">
      <c r="A25" s="27" t="s">
        <v>20</v>
      </c>
      <c r="B25" s="28">
        <f>SUM(B23:B24)</f>
        <v>153970</v>
      </c>
      <c r="C25" s="479"/>
      <c r="D25" s="23"/>
      <c r="E25" s="119"/>
      <c r="F25" s="74"/>
      <c r="G25" s="98"/>
      <c r="H25" s="60"/>
      <c r="I25" s="60"/>
      <c r="J25" s="123"/>
      <c r="K25" s="124"/>
    </row>
    <row r="26" spans="1:11" s="122" customFormat="1" ht="18" customHeight="1">
      <c r="A26" s="21" t="s">
        <v>10</v>
      </c>
      <c r="B26" s="22">
        <f>27480.35+64.8+178.55+190.05+1290.3+224.05+4600+1300+788+381.05</f>
        <v>36497.149999999994</v>
      </c>
      <c r="C26" s="478" t="s">
        <v>191</v>
      </c>
      <c r="D26" s="23"/>
      <c r="E26" s="119"/>
      <c r="F26" s="59"/>
      <c r="G26" s="97"/>
      <c r="H26" s="19"/>
      <c r="I26" s="19"/>
      <c r="J26" s="121"/>
      <c r="K26" s="126"/>
    </row>
    <row r="27" spans="1:11" s="125" customFormat="1" ht="24.75" customHeight="1">
      <c r="A27" s="27" t="s">
        <v>20</v>
      </c>
      <c r="B27" s="28">
        <f>27480.35+64.8+178.55+190.05+1290.3+224.05+4600+1300+788+381.05</f>
        <v>36497.149999999994</v>
      </c>
      <c r="C27" s="479"/>
      <c r="D27" s="23"/>
      <c r="E27" s="119"/>
      <c r="F27" s="57"/>
      <c r="G27" s="98"/>
      <c r="H27" s="60"/>
      <c r="I27" s="60"/>
      <c r="J27" s="123"/>
      <c r="K27" s="124"/>
    </row>
    <row r="28" spans="1:10" s="122" customFormat="1" ht="31.5" customHeight="1">
      <c r="A28" s="448" t="s">
        <v>11</v>
      </c>
      <c r="B28" s="450">
        <f>68894.29+24116.8+10900+286.9+12650+458.9+2620+589.2</f>
        <v>120516.08999999998</v>
      </c>
      <c r="C28" s="475" t="s">
        <v>124</v>
      </c>
      <c r="D28" s="23"/>
      <c r="E28" s="119"/>
      <c r="F28" s="75"/>
      <c r="G28" s="97"/>
      <c r="H28" s="19"/>
      <c r="I28" s="19"/>
      <c r="J28" s="121"/>
    </row>
    <row r="29" spans="1:10" s="122" customFormat="1" ht="0.75" customHeight="1" hidden="1">
      <c r="A29" s="449"/>
      <c r="B29" s="451"/>
      <c r="C29" s="476"/>
      <c r="D29" s="23"/>
      <c r="E29" s="119"/>
      <c r="F29" s="75"/>
      <c r="G29" s="97"/>
      <c r="H29" s="19"/>
      <c r="I29" s="19"/>
      <c r="J29" s="121"/>
    </row>
    <row r="30" spans="1:10" s="125" customFormat="1" ht="22.5" customHeight="1">
      <c r="A30" s="27" t="s">
        <v>20</v>
      </c>
      <c r="B30" s="28">
        <f>SUM(B28:B29)</f>
        <v>120516.08999999998</v>
      </c>
      <c r="C30" s="477"/>
      <c r="D30" s="19"/>
      <c r="E30" s="43"/>
      <c r="F30" s="74"/>
      <c r="G30" s="98"/>
      <c r="H30" s="60"/>
      <c r="I30" s="60"/>
      <c r="J30" s="123"/>
    </row>
    <row r="31" spans="1:10" s="122" customFormat="1" ht="11.25" customHeight="1" hidden="1">
      <c r="A31" s="448" t="s">
        <v>49</v>
      </c>
      <c r="B31" s="450">
        <f>25404.2+7867+7269+1469.7+3420+4047+383+2280+5352</f>
        <v>57491.899999999994</v>
      </c>
      <c r="C31" s="148"/>
      <c r="D31" s="23"/>
      <c r="E31" s="119"/>
      <c r="F31" s="75"/>
      <c r="G31" s="97"/>
      <c r="H31" s="19"/>
      <c r="I31" s="19"/>
      <c r="J31" s="121"/>
    </row>
    <row r="32" spans="1:10" s="122" customFormat="1" ht="19.5" customHeight="1">
      <c r="A32" s="449"/>
      <c r="B32" s="451"/>
      <c r="C32" s="478" t="s">
        <v>187</v>
      </c>
      <c r="D32" s="23"/>
      <c r="E32" s="119"/>
      <c r="F32" s="75"/>
      <c r="G32" s="97"/>
      <c r="H32" s="19"/>
      <c r="I32" s="19"/>
      <c r="J32" s="121"/>
    </row>
    <row r="33" spans="1:10" s="125" customFormat="1" ht="51" customHeight="1">
      <c r="A33" s="27" t="s">
        <v>20</v>
      </c>
      <c r="B33" s="28">
        <v>57491.9</v>
      </c>
      <c r="C33" s="479"/>
      <c r="D33" s="116"/>
      <c r="E33" s="117"/>
      <c r="F33" s="118"/>
      <c r="G33" s="111"/>
      <c r="H33" s="85"/>
      <c r="I33" s="85"/>
      <c r="J33" s="123"/>
    </row>
    <row r="34" spans="1:10" s="122" customFormat="1" ht="21.75" customHeight="1">
      <c r="A34" s="21" t="s">
        <v>12</v>
      </c>
      <c r="B34" s="22">
        <f>26465+120+120+670+258+22482+10016+378</f>
        <v>60509</v>
      </c>
      <c r="C34" s="478" t="s">
        <v>80</v>
      </c>
      <c r="D34" s="19"/>
      <c r="E34" s="43"/>
      <c r="F34" s="76"/>
      <c r="G34" s="97"/>
      <c r="H34" s="19"/>
      <c r="I34" s="19"/>
      <c r="J34" s="121"/>
    </row>
    <row r="35" spans="1:10" s="125" customFormat="1" ht="16.5" customHeight="1">
      <c r="A35" s="27" t="s">
        <v>20</v>
      </c>
      <c r="B35" s="28">
        <f>SUM(B34)</f>
        <v>60509</v>
      </c>
      <c r="C35" s="479"/>
      <c r="D35" s="44"/>
      <c r="E35" s="45"/>
      <c r="F35" s="77"/>
      <c r="G35" s="98"/>
      <c r="H35" s="60"/>
      <c r="I35" s="60"/>
      <c r="J35" s="123"/>
    </row>
    <row r="36" spans="1:10" s="122" customFormat="1" ht="18" customHeight="1">
      <c r="A36" s="21" t="s">
        <v>21</v>
      </c>
      <c r="B36" s="22">
        <f>18720+50+972+680+6570+246+1200+22400+315</f>
        <v>51153</v>
      </c>
      <c r="C36" s="478" t="s">
        <v>180</v>
      </c>
      <c r="D36" s="44"/>
      <c r="E36" s="43"/>
      <c r="F36" s="76"/>
      <c r="G36" s="97"/>
      <c r="H36" s="19"/>
      <c r="I36" s="19"/>
      <c r="J36" s="121"/>
    </row>
    <row r="37" spans="1:10" s="125" customFormat="1" ht="16.5" customHeight="1">
      <c r="A37" s="27" t="s">
        <v>20</v>
      </c>
      <c r="B37" s="28">
        <f>SUM(B36:B36)</f>
        <v>51153</v>
      </c>
      <c r="C37" s="479"/>
      <c r="D37" s="19"/>
      <c r="E37" s="43"/>
      <c r="F37" s="77"/>
      <c r="G37" s="98"/>
      <c r="H37" s="60"/>
      <c r="I37" s="60"/>
      <c r="J37" s="123"/>
    </row>
    <row r="38" spans="1:10" s="122" customFormat="1" ht="22.5" customHeight="1">
      <c r="A38" s="21" t="s">
        <v>13</v>
      </c>
      <c r="B38" s="22">
        <f>16983.2+260+2440+953.2+7960+440+440+1540+428+980+2045+3785+11000</f>
        <v>49254.4</v>
      </c>
      <c r="C38" s="478" t="s">
        <v>142</v>
      </c>
      <c r="D38" s="44"/>
      <c r="E38" s="42"/>
      <c r="F38" s="43"/>
      <c r="G38" s="97"/>
      <c r="H38" s="19"/>
      <c r="I38" s="19"/>
      <c r="J38" s="121"/>
    </row>
    <row r="39" spans="1:10" s="125" customFormat="1" ht="25.5" customHeight="1">
      <c r="A39" s="27" t="s">
        <v>20</v>
      </c>
      <c r="B39" s="28">
        <f>SUM(B38)</f>
        <v>49254.4</v>
      </c>
      <c r="C39" s="479"/>
      <c r="D39" s="44"/>
      <c r="E39" s="42"/>
      <c r="F39" s="74"/>
      <c r="G39" s="98"/>
      <c r="H39" s="60"/>
      <c r="I39" s="60"/>
      <c r="J39" s="123"/>
    </row>
    <row r="40" spans="1:10" s="122" customFormat="1" ht="21" customHeight="1">
      <c r="A40" s="21" t="s">
        <v>14</v>
      </c>
      <c r="B40" s="22">
        <f>8120.7+711.9+350+17005+14796+1325+13565</f>
        <v>55873.6</v>
      </c>
      <c r="C40" s="478" t="s">
        <v>188</v>
      </c>
      <c r="D40" s="44"/>
      <c r="E40" s="42"/>
      <c r="F40" s="43"/>
      <c r="G40" s="97"/>
      <c r="H40" s="19"/>
      <c r="I40" s="19"/>
      <c r="J40" s="121"/>
    </row>
    <row r="41" spans="1:10" s="125" customFormat="1" ht="28.5" customHeight="1">
      <c r="A41" s="27" t="s">
        <v>20</v>
      </c>
      <c r="B41" s="28">
        <f>SUM(B40:B40)</f>
        <v>55873.6</v>
      </c>
      <c r="C41" s="479"/>
      <c r="D41" s="44"/>
      <c r="E41" s="42"/>
      <c r="F41" s="74">
        <f>F40</f>
        <v>0</v>
      </c>
      <c r="G41" s="98"/>
      <c r="H41" s="60"/>
      <c r="I41" s="60"/>
      <c r="J41" s="123"/>
    </row>
    <row r="42" spans="1:10" s="122" customFormat="1" ht="19.5" customHeight="1">
      <c r="A42" s="21" t="s">
        <v>15</v>
      </c>
      <c r="B42" s="22">
        <f>8785.5+493+562+702+13380+19340+14600+680+760</f>
        <v>59302.5</v>
      </c>
      <c r="C42" s="478" t="s">
        <v>183</v>
      </c>
      <c r="D42" s="44"/>
      <c r="E42" s="46"/>
      <c r="F42" s="43"/>
      <c r="G42" s="97"/>
      <c r="H42" s="19"/>
      <c r="I42" s="19"/>
      <c r="J42" s="121"/>
    </row>
    <row r="43" spans="1:10" s="125" customFormat="1" ht="16.5" customHeight="1">
      <c r="A43" s="27" t="s">
        <v>20</v>
      </c>
      <c r="B43" s="28">
        <f>SUM(B42:B42)</f>
        <v>59302.5</v>
      </c>
      <c r="C43" s="479"/>
      <c r="D43" s="44"/>
      <c r="E43" s="46"/>
      <c r="F43" s="74"/>
      <c r="G43" s="98"/>
      <c r="H43" s="60"/>
      <c r="I43" s="60"/>
      <c r="J43" s="123"/>
    </row>
    <row r="44" spans="1:10" s="122" customFormat="1" ht="21.75" customHeight="1">
      <c r="A44" s="21" t="s">
        <v>16</v>
      </c>
      <c r="B44" s="22">
        <f>25196.58+1427+7200+507.5+4929.17+3110+5625.66+283.5+1090+180+840+1346+4913+3809.3</f>
        <v>60457.71000000001</v>
      </c>
      <c r="C44" s="478" t="s">
        <v>189</v>
      </c>
      <c r="D44" s="44"/>
      <c r="E44" s="46"/>
      <c r="F44" s="43"/>
      <c r="G44" s="97"/>
      <c r="H44" s="19"/>
      <c r="I44" s="19"/>
      <c r="J44" s="121"/>
    </row>
    <row r="45" spans="1:10" s="125" customFormat="1" ht="56.25" customHeight="1">
      <c r="A45" s="27" t="s">
        <v>20</v>
      </c>
      <c r="B45" s="28">
        <f>SUM(B44:B44)</f>
        <v>60457.71000000001</v>
      </c>
      <c r="C45" s="479"/>
      <c r="D45" s="44"/>
      <c r="E45" s="150"/>
      <c r="F45" s="74">
        <f>F44</f>
        <v>0</v>
      </c>
      <c r="G45" s="98"/>
      <c r="H45" s="60"/>
      <c r="I45" s="60"/>
      <c r="J45" s="123"/>
    </row>
    <row r="46" spans="1:10" s="122" customFormat="1" ht="18.75" customHeight="1">
      <c r="A46" s="21" t="s">
        <v>17</v>
      </c>
      <c r="B46" s="47">
        <f>13350.15+206.5+30.45+812.6+3640+7610+809.75+4009+1812+2191+2724</f>
        <v>37195.45</v>
      </c>
      <c r="C46" s="478" t="s">
        <v>182</v>
      </c>
      <c r="D46" s="19"/>
      <c r="E46" s="150"/>
      <c r="F46" s="43"/>
      <c r="G46" s="99"/>
      <c r="H46" s="19"/>
      <c r="I46" s="19"/>
      <c r="J46" s="121"/>
    </row>
    <row r="47" spans="1:10" s="125" customFormat="1" ht="39.75" customHeight="1">
      <c r="A47" s="27" t="s">
        <v>20</v>
      </c>
      <c r="B47" s="48">
        <f>SUM(B46:B46)</f>
        <v>37195.45</v>
      </c>
      <c r="C47" s="479"/>
      <c r="D47" s="44"/>
      <c r="E47" s="151"/>
      <c r="F47" s="74"/>
      <c r="G47" s="98"/>
      <c r="H47" s="60"/>
      <c r="I47" s="60"/>
      <c r="J47" s="123"/>
    </row>
    <row r="48" spans="1:10" s="122" customFormat="1" ht="18.75" customHeight="1">
      <c r="A48" s="49" t="s">
        <v>18</v>
      </c>
      <c r="B48" s="22">
        <f>7132+268.5+280+1400+325+321+5105+7500+6000+308+1000+200</f>
        <v>29839.5</v>
      </c>
      <c r="C48" s="478" t="s">
        <v>190</v>
      </c>
      <c r="D48" s="44"/>
      <c r="E48" s="151"/>
      <c r="F48" s="43"/>
      <c r="G48" s="97"/>
      <c r="H48" s="19"/>
      <c r="I48" s="19"/>
      <c r="J48" s="121"/>
    </row>
    <row r="49" spans="1:10" s="122" customFormat="1" ht="33.75" customHeight="1" thickBot="1">
      <c r="A49" s="27" t="s">
        <v>20</v>
      </c>
      <c r="B49" s="28">
        <f>SUM(B48:B48)</f>
        <v>29839.5</v>
      </c>
      <c r="C49" s="479"/>
      <c r="D49" s="44"/>
      <c r="E49" s="152"/>
      <c r="F49" s="74">
        <f>F48</f>
        <v>0</v>
      </c>
      <c r="G49" s="97"/>
      <c r="H49" s="19"/>
      <c r="I49" s="19"/>
      <c r="J49" s="121"/>
    </row>
    <row r="50" spans="1:10" s="128" customFormat="1" ht="36.75" customHeight="1" thickBot="1">
      <c r="A50" s="52" t="s">
        <v>68</v>
      </c>
      <c r="B50" s="53">
        <f>SUM(B14+B16+B18+B20+B22+B25+B27+B30+B33+B35+B37+B39+B41+B43+B45+B47+B49)</f>
        <v>961470.0399999999</v>
      </c>
      <c r="C50" s="145"/>
      <c r="D50" s="134"/>
      <c r="E50" s="153"/>
      <c r="F50" s="80">
        <f>F41+F49+F18+F45</f>
        <v>9357</v>
      </c>
      <c r="G50" s="136"/>
      <c r="H50" s="137">
        <f>H22</f>
        <v>0</v>
      </c>
      <c r="I50" s="138"/>
      <c r="J50" s="127"/>
    </row>
    <row r="51" spans="1:10" s="122" customFormat="1" ht="24" customHeight="1">
      <c r="A51" s="26" t="s">
        <v>41</v>
      </c>
      <c r="B51" s="22">
        <f>39002.8+10110+6232.8+4483.25+14900</f>
        <v>74728.85</v>
      </c>
      <c r="C51" s="478" t="s">
        <v>193</v>
      </c>
      <c r="D51" s="56"/>
      <c r="E51" s="154"/>
      <c r="F51" s="84"/>
      <c r="G51" s="97"/>
      <c r="H51" s="85"/>
      <c r="I51" s="85"/>
      <c r="J51" s="123"/>
    </row>
    <row r="52" spans="1:10" s="125" customFormat="1" ht="30.75" customHeight="1">
      <c r="A52" s="27" t="s">
        <v>20</v>
      </c>
      <c r="B52" s="28">
        <f>SUM(B51:B51)</f>
        <v>74728.85</v>
      </c>
      <c r="C52" s="479"/>
      <c r="D52" s="57"/>
      <c r="E52" s="155"/>
      <c r="F52" s="74">
        <f>F51</f>
        <v>0</v>
      </c>
      <c r="G52" s="98"/>
      <c r="H52" s="60"/>
      <c r="I52" s="60"/>
      <c r="J52" s="123"/>
    </row>
    <row r="53" spans="1:10" s="122" customFormat="1" ht="24" customHeight="1">
      <c r="A53" s="26" t="s">
        <v>56</v>
      </c>
      <c r="B53" s="22">
        <f>24471.4+320+312+720.8+818.4+4385+2170+616.8</f>
        <v>33814.40000000001</v>
      </c>
      <c r="C53" s="478" t="s">
        <v>194</v>
      </c>
      <c r="D53" s="56"/>
      <c r="E53" s="154"/>
      <c r="F53" s="84"/>
      <c r="G53" s="97"/>
      <c r="H53" s="85"/>
      <c r="I53" s="85"/>
      <c r="J53" s="123"/>
    </row>
    <row r="54" spans="1:10" s="125" customFormat="1" ht="17.25" customHeight="1">
      <c r="A54" s="27" t="s">
        <v>20</v>
      </c>
      <c r="B54" s="28">
        <f>SUM(B53:B53)</f>
        <v>33814.40000000001</v>
      </c>
      <c r="C54" s="479"/>
      <c r="D54" s="57"/>
      <c r="E54" s="155"/>
      <c r="F54" s="74">
        <f>F53</f>
        <v>0</v>
      </c>
      <c r="G54" s="98"/>
      <c r="H54" s="60"/>
      <c r="I54" s="60"/>
      <c r="J54" s="123"/>
    </row>
    <row r="55" spans="1:10" s="125" customFormat="1" ht="39" customHeight="1">
      <c r="A55" s="21" t="s">
        <v>39</v>
      </c>
      <c r="B55" s="22"/>
      <c r="C55" s="146" t="s">
        <v>83</v>
      </c>
      <c r="D55" s="59">
        <v>50</v>
      </c>
      <c r="E55" s="156" t="s">
        <v>171</v>
      </c>
      <c r="F55" s="43"/>
      <c r="G55" s="97"/>
      <c r="H55" s="60"/>
      <c r="I55" s="60"/>
      <c r="J55" s="123"/>
    </row>
    <row r="56" spans="1:10" s="125" customFormat="1" ht="39" customHeight="1">
      <c r="A56" s="21" t="s">
        <v>39</v>
      </c>
      <c r="B56" s="22"/>
      <c r="C56" s="146" t="s">
        <v>195</v>
      </c>
      <c r="D56" s="59">
        <v>12224</v>
      </c>
      <c r="E56" s="156" t="s">
        <v>196</v>
      </c>
      <c r="F56" s="43"/>
      <c r="G56" s="97"/>
      <c r="H56" s="60"/>
      <c r="I56" s="60"/>
      <c r="J56" s="123"/>
    </row>
    <row r="57" spans="1:10" s="125" customFormat="1" ht="57" customHeight="1">
      <c r="A57" s="21" t="s">
        <v>39</v>
      </c>
      <c r="B57" s="22">
        <f>24844+6700+18584</f>
        <v>50128</v>
      </c>
      <c r="C57" s="146" t="s">
        <v>185</v>
      </c>
      <c r="D57" s="59">
        <v>80</v>
      </c>
      <c r="E57" s="156" t="s">
        <v>147</v>
      </c>
      <c r="F57" s="43">
        <v>986</v>
      </c>
      <c r="G57" s="97" t="s">
        <v>110</v>
      </c>
      <c r="H57" s="60"/>
      <c r="I57" s="60"/>
      <c r="J57" s="123"/>
    </row>
    <row r="58" spans="1:10" s="125" customFormat="1" ht="17.25" customHeight="1">
      <c r="A58" s="27" t="s">
        <v>20</v>
      </c>
      <c r="B58" s="28">
        <f>SUM(B57:B57)</f>
        <v>50128</v>
      </c>
      <c r="C58" s="146"/>
      <c r="D58" s="57">
        <f>SUM(D55:D57)</f>
        <v>12354</v>
      </c>
      <c r="E58" s="155"/>
      <c r="F58" s="74">
        <f>F57</f>
        <v>986</v>
      </c>
      <c r="G58" s="98"/>
      <c r="H58" s="60"/>
      <c r="I58" s="60"/>
      <c r="J58" s="123"/>
    </row>
    <row r="59" spans="1:10" s="122" customFormat="1" ht="45.75" customHeight="1">
      <c r="A59" s="21" t="s">
        <v>38</v>
      </c>
      <c r="B59" s="22"/>
      <c r="C59" s="148" t="s">
        <v>83</v>
      </c>
      <c r="D59" s="59">
        <v>50</v>
      </c>
      <c r="E59" s="157" t="s">
        <v>171</v>
      </c>
      <c r="F59" s="43"/>
      <c r="G59" s="97"/>
      <c r="H59" s="78"/>
      <c r="I59" s="19"/>
      <c r="J59" s="73"/>
    </row>
    <row r="60" spans="1:10" s="122" customFormat="1" ht="48" customHeight="1">
      <c r="A60" s="21" t="s">
        <v>38</v>
      </c>
      <c r="B60" s="22"/>
      <c r="C60" s="148" t="s">
        <v>197</v>
      </c>
      <c r="D60" s="59">
        <v>6000</v>
      </c>
      <c r="E60" s="157" t="s">
        <v>198</v>
      </c>
      <c r="F60" s="43"/>
      <c r="G60" s="97"/>
      <c r="H60" s="78"/>
      <c r="I60" s="19"/>
      <c r="J60" s="73"/>
    </row>
    <row r="61" spans="1:10" s="122" customFormat="1" ht="48" customHeight="1">
      <c r="A61" s="21" t="s">
        <v>38</v>
      </c>
      <c r="B61" s="22"/>
      <c r="C61" s="148" t="s">
        <v>199</v>
      </c>
      <c r="D61" s="59">
        <v>4500</v>
      </c>
      <c r="E61" s="157" t="s">
        <v>200</v>
      </c>
      <c r="F61" s="43"/>
      <c r="G61" s="97"/>
      <c r="H61" s="78"/>
      <c r="I61" s="19"/>
      <c r="J61" s="73"/>
    </row>
    <row r="62" spans="1:10" s="122" customFormat="1" ht="48" customHeight="1">
      <c r="A62" s="21" t="s">
        <v>38</v>
      </c>
      <c r="B62" s="22"/>
      <c r="C62" s="148" t="s">
        <v>164</v>
      </c>
      <c r="D62" s="59">
        <v>6000</v>
      </c>
      <c r="E62" s="157" t="s">
        <v>140</v>
      </c>
      <c r="F62" s="43"/>
      <c r="G62" s="97"/>
      <c r="H62" s="78"/>
      <c r="I62" s="19"/>
      <c r="J62" s="73"/>
    </row>
    <row r="63" spans="1:10" s="122" customFormat="1" ht="57" customHeight="1">
      <c r="A63" s="21" t="s">
        <v>38</v>
      </c>
      <c r="B63" s="22">
        <f>1015+4536+11000+1400+7605+15299+6845+2321+230</f>
        <v>50251</v>
      </c>
      <c r="C63" s="148" t="s">
        <v>163</v>
      </c>
      <c r="D63" s="59">
        <v>30</v>
      </c>
      <c r="E63" s="156" t="s">
        <v>147</v>
      </c>
      <c r="F63" s="43">
        <v>826.5</v>
      </c>
      <c r="G63" s="97" t="s">
        <v>110</v>
      </c>
      <c r="H63" s="78"/>
      <c r="I63" s="19"/>
      <c r="J63" s="73"/>
    </row>
    <row r="64" spans="1:10" s="125" customFormat="1" ht="16.5" customHeight="1">
      <c r="A64" s="27" t="s">
        <v>20</v>
      </c>
      <c r="B64" s="28">
        <f>SUM(B63:B63)</f>
        <v>50251</v>
      </c>
      <c r="C64" s="146"/>
      <c r="D64" s="57">
        <f>SUM(D59:D63)</f>
        <v>16580</v>
      </c>
      <c r="E64" s="158"/>
      <c r="F64" s="74">
        <f>F63</f>
        <v>826.5</v>
      </c>
      <c r="G64" s="102"/>
      <c r="H64" s="86"/>
      <c r="I64" s="60"/>
      <c r="J64" s="129"/>
    </row>
    <row r="65" spans="1:10" s="125" customFormat="1" ht="37.5" customHeight="1">
      <c r="A65" s="21" t="s">
        <v>40</v>
      </c>
      <c r="B65" s="22"/>
      <c r="C65" s="148" t="s">
        <v>83</v>
      </c>
      <c r="D65" s="59">
        <v>50</v>
      </c>
      <c r="E65" s="156" t="s">
        <v>171</v>
      </c>
      <c r="F65" s="43">
        <v>449.5</v>
      </c>
      <c r="G65" s="97" t="s">
        <v>110</v>
      </c>
      <c r="H65" s="86"/>
      <c r="I65" s="60"/>
      <c r="J65" s="129"/>
    </row>
    <row r="66" spans="1:10" s="125" customFormat="1" ht="37.5" customHeight="1">
      <c r="A66" s="21" t="s">
        <v>40</v>
      </c>
      <c r="B66" s="22">
        <f>2528.6+10082.8+200+200+393</f>
        <v>13404.4</v>
      </c>
      <c r="C66" s="148" t="s">
        <v>192</v>
      </c>
      <c r="D66" s="59">
        <v>110</v>
      </c>
      <c r="E66" s="156" t="s">
        <v>147</v>
      </c>
      <c r="F66" s="43">
        <v>449.5</v>
      </c>
      <c r="G66" s="97" t="s">
        <v>110</v>
      </c>
      <c r="H66" s="86"/>
      <c r="I66" s="60"/>
      <c r="J66" s="129"/>
    </row>
    <row r="67" spans="1:10" s="125" customFormat="1" ht="17.25" customHeight="1">
      <c r="A67" s="27" t="s">
        <v>20</v>
      </c>
      <c r="B67" s="28">
        <f>SUM(B66:B66)</f>
        <v>13404.4</v>
      </c>
      <c r="C67" s="147"/>
      <c r="D67" s="61">
        <f>SUM(D65:D66)</f>
        <v>160</v>
      </c>
      <c r="E67" s="159"/>
      <c r="F67" s="57">
        <f>F66</f>
        <v>449.5</v>
      </c>
      <c r="G67" s="102"/>
      <c r="H67" s="86"/>
      <c r="I67" s="60"/>
      <c r="J67" s="129"/>
    </row>
    <row r="68" spans="1:10" s="125" customFormat="1" ht="45" customHeight="1">
      <c r="A68" s="21" t="s">
        <v>42</v>
      </c>
      <c r="B68" s="22"/>
      <c r="C68" s="148" t="s">
        <v>83</v>
      </c>
      <c r="D68" s="59">
        <v>70</v>
      </c>
      <c r="E68" s="156" t="s">
        <v>171</v>
      </c>
      <c r="F68" s="59"/>
      <c r="G68" s="97"/>
      <c r="H68" s="86"/>
      <c r="I68" s="60"/>
      <c r="J68" s="129"/>
    </row>
    <row r="69" spans="1:10" s="125" customFormat="1" ht="54.75" customHeight="1">
      <c r="A69" s="21" t="s">
        <v>42</v>
      </c>
      <c r="B69" s="22"/>
      <c r="C69" s="148" t="s">
        <v>173</v>
      </c>
      <c r="D69" s="59">
        <v>22489.56</v>
      </c>
      <c r="E69" s="156" t="s">
        <v>174</v>
      </c>
      <c r="F69" s="59"/>
      <c r="G69" s="97"/>
      <c r="H69" s="86"/>
      <c r="I69" s="60"/>
      <c r="J69" s="129"/>
    </row>
    <row r="70" spans="1:10" s="125" customFormat="1" ht="54.75" customHeight="1">
      <c r="A70" s="21" t="s">
        <v>42</v>
      </c>
      <c r="B70" s="22">
        <f>4952+6200+700+452</f>
        <v>12304</v>
      </c>
      <c r="C70" s="148" t="s">
        <v>165</v>
      </c>
      <c r="D70" s="59">
        <v>80</v>
      </c>
      <c r="E70" s="156" t="s">
        <v>147</v>
      </c>
      <c r="F70" s="59">
        <v>507.5</v>
      </c>
      <c r="G70" s="97" t="s">
        <v>110</v>
      </c>
      <c r="H70" s="86"/>
      <c r="I70" s="60"/>
      <c r="J70" s="129"/>
    </row>
    <row r="71" spans="1:10" s="125" customFormat="1" ht="17.25" customHeight="1">
      <c r="A71" s="27" t="s">
        <v>20</v>
      </c>
      <c r="B71" s="28">
        <f>SUM(B70:B70)</f>
        <v>12304</v>
      </c>
      <c r="C71" s="147"/>
      <c r="D71" s="57">
        <f>SUM(D68:D70)</f>
        <v>22639.56</v>
      </c>
      <c r="E71" s="159"/>
      <c r="F71" s="57">
        <f>F70</f>
        <v>507.5</v>
      </c>
      <c r="G71" s="102"/>
      <c r="H71" s="86"/>
      <c r="I71" s="60"/>
      <c r="J71" s="129"/>
    </row>
    <row r="72" spans="1:10" s="122" customFormat="1" ht="39.75" customHeight="1">
      <c r="A72" s="21" t="s">
        <v>29</v>
      </c>
      <c r="B72" s="22"/>
      <c r="C72" s="148" t="s">
        <v>83</v>
      </c>
      <c r="D72" s="59">
        <v>50</v>
      </c>
      <c r="E72" s="156" t="s">
        <v>171</v>
      </c>
      <c r="F72" s="45"/>
      <c r="G72" s="97"/>
      <c r="H72" s="43"/>
      <c r="I72" s="19"/>
      <c r="J72" s="73"/>
    </row>
    <row r="73" spans="1:10" s="122" customFormat="1" ht="52.5" customHeight="1">
      <c r="A73" s="21" t="s">
        <v>29</v>
      </c>
      <c r="B73" s="22">
        <f>64331.7+6876+12640+1721+1298+1711+2073+212+1558+425</f>
        <v>92845.7</v>
      </c>
      <c r="C73" s="478" t="s">
        <v>201</v>
      </c>
      <c r="D73" s="45">
        <v>30</v>
      </c>
      <c r="E73" s="156" t="s">
        <v>147</v>
      </c>
      <c r="F73" s="45">
        <v>1711</v>
      </c>
      <c r="G73" s="97" t="s">
        <v>110</v>
      </c>
      <c r="H73" s="43"/>
      <c r="I73" s="19"/>
      <c r="J73" s="73"/>
    </row>
    <row r="74" spans="1:10" s="125" customFormat="1" ht="33.75" customHeight="1">
      <c r="A74" s="27" t="s">
        <v>20</v>
      </c>
      <c r="B74" s="28">
        <f>SUM(B73:B73)</f>
        <v>92845.7</v>
      </c>
      <c r="C74" s="479"/>
      <c r="D74" s="57">
        <f>SUM(D72:D73)</f>
        <v>80</v>
      </c>
      <c r="E74" s="159"/>
      <c r="F74" s="57">
        <f>F73</f>
        <v>1711</v>
      </c>
      <c r="G74" s="102"/>
      <c r="H74" s="74">
        <f>H73</f>
        <v>0</v>
      </c>
      <c r="I74" s="60"/>
      <c r="J74" s="129"/>
    </row>
    <row r="75" spans="1:10" s="125" customFormat="1" ht="174.75" customHeight="1" hidden="1">
      <c r="A75" s="27" t="s">
        <v>20</v>
      </c>
      <c r="B75" s="28">
        <f>SUM(B73:B74)</f>
        <v>185691.4</v>
      </c>
      <c r="C75" s="146"/>
      <c r="D75" s="61"/>
      <c r="E75" s="160"/>
      <c r="F75" s="61"/>
      <c r="G75" s="102"/>
      <c r="H75" s="86"/>
      <c r="I75" s="86"/>
      <c r="J75" s="129"/>
    </row>
    <row r="76" spans="1:10" s="125" customFormat="1" ht="16.5" customHeight="1" hidden="1">
      <c r="A76" s="21" t="s">
        <v>37</v>
      </c>
      <c r="B76" s="22">
        <v>10999</v>
      </c>
      <c r="C76" s="148" t="s">
        <v>52</v>
      </c>
      <c r="D76" s="61"/>
      <c r="E76" s="160"/>
      <c r="F76" s="61"/>
      <c r="G76" s="102"/>
      <c r="H76" s="86"/>
      <c r="I76" s="86"/>
      <c r="J76" s="129"/>
    </row>
    <row r="77" spans="1:10" s="122" customFormat="1" ht="17.25" customHeight="1" hidden="1">
      <c r="A77" s="21" t="s">
        <v>37</v>
      </c>
      <c r="B77" s="22">
        <v>1219</v>
      </c>
      <c r="C77" s="148" t="s">
        <v>43</v>
      </c>
      <c r="D77" s="45"/>
      <c r="E77" s="160"/>
      <c r="F77" s="45"/>
      <c r="G77" s="97"/>
      <c r="H77" s="78"/>
      <c r="I77" s="19"/>
      <c r="J77" s="73"/>
    </row>
    <row r="78" spans="1:10" s="125" customFormat="1" ht="16.5" customHeight="1" hidden="1">
      <c r="A78" s="27" t="s">
        <v>20</v>
      </c>
      <c r="B78" s="28">
        <f>SUM(B76:B77)</f>
        <v>12218</v>
      </c>
      <c r="C78" s="146"/>
      <c r="D78" s="61"/>
      <c r="E78" s="160"/>
      <c r="F78" s="61"/>
      <c r="G78" s="102"/>
      <c r="H78" s="86"/>
      <c r="I78" s="86"/>
      <c r="J78" s="129"/>
    </row>
    <row r="79" spans="1:10" s="125" customFormat="1" ht="16.5" customHeight="1" hidden="1">
      <c r="A79" s="21" t="s">
        <v>30</v>
      </c>
      <c r="B79" s="63">
        <v>3133</v>
      </c>
      <c r="C79" s="148" t="s">
        <v>44</v>
      </c>
      <c r="D79" s="45"/>
      <c r="E79" s="160"/>
      <c r="F79" s="61"/>
      <c r="G79" s="102"/>
      <c r="H79" s="86"/>
      <c r="I79" s="86"/>
      <c r="J79" s="129"/>
    </row>
    <row r="80" spans="1:10" s="125" customFormat="1" ht="18.75" customHeight="1" hidden="1">
      <c r="A80" s="21" t="s">
        <v>30</v>
      </c>
      <c r="B80" s="63">
        <v>120</v>
      </c>
      <c r="C80" s="148" t="s">
        <v>36</v>
      </c>
      <c r="D80" s="45"/>
      <c r="E80" s="160"/>
      <c r="F80" s="61"/>
      <c r="G80" s="102"/>
      <c r="H80" s="86"/>
      <c r="I80" s="86"/>
      <c r="J80" s="129"/>
    </row>
    <row r="81" spans="1:10" s="125" customFormat="1" ht="18.75" customHeight="1" hidden="1">
      <c r="A81" s="21" t="s">
        <v>30</v>
      </c>
      <c r="B81" s="63">
        <v>210</v>
      </c>
      <c r="C81" s="148" t="s">
        <v>36</v>
      </c>
      <c r="D81" s="45"/>
      <c r="E81" s="160"/>
      <c r="F81" s="61"/>
      <c r="G81" s="102"/>
      <c r="H81" s="86"/>
      <c r="I81" s="86"/>
      <c r="J81" s="129"/>
    </row>
    <row r="82" spans="1:10" s="125" customFormat="1" ht="16.5" customHeight="1" hidden="1">
      <c r="A82" s="27" t="s">
        <v>20</v>
      </c>
      <c r="B82" s="64">
        <f>SUM(B79:B81)</f>
        <v>3463</v>
      </c>
      <c r="C82" s="146"/>
      <c r="D82" s="61"/>
      <c r="E82" s="160"/>
      <c r="F82" s="61"/>
      <c r="G82" s="102"/>
      <c r="H82" s="86"/>
      <c r="I82" s="86"/>
      <c r="J82" s="129"/>
    </row>
    <row r="83" spans="1:10" s="125" customFormat="1" ht="17.25" customHeight="1" hidden="1">
      <c r="A83" s="21" t="s">
        <v>31</v>
      </c>
      <c r="B83" s="65">
        <v>60</v>
      </c>
      <c r="C83" s="148" t="s">
        <v>48</v>
      </c>
      <c r="D83" s="65">
        <v>149639.87</v>
      </c>
      <c r="E83" s="161" t="s">
        <v>47</v>
      </c>
      <c r="F83" s="59"/>
      <c r="G83" s="102"/>
      <c r="H83" s="21"/>
      <c r="I83" s="86"/>
      <c r="J83" s="129"/>
    </row>
    <row r="84" spans="1:10" s="125" customFormat="1" ht="17.25" customHeight="1" hidden="1">
      <c r="A84" s="21" t="s">
        <v>31</v>
      </c>
      <c r="B84" s="65">
        <v>3951.33</v>
      </c>
      <c r="C84" s="148" t="s">
        <v>51</v>
      </c>
      <c r="D84" s="65"/>
      <c r="E84" s="161"/>
      <c r="F84" s="59"/>
      <c r="G84" s="72"/>
      <c r="H84" s="21"/>
      <c r="I84" s="86"/>
      <c r="J84" s="129"/>
    </row>
    <row r="85" spans="1:10" s="122" customFormat="1" ht="47.25" customHeight="1">
      <c r="A85" s="21" t="s">
        <v>37</v>
      </c>
      <c r="B85" s="22"/>
      <c r="C85" s="148" t="s">
        <v>83</v>
      </c>
      <c r="D85" s="59">
        <v>50</v>
      </c>
      <c r="E85" s="156" t="s">
        <v>171</v>
      </c>
      <c r="F85" s="45"/>
      <c r="G85" s="97"/>
      <c r="H85" s="78"/>
      <c r="I85" s="19"/>
      <c r="J85" s="73"/>
    </row>
    <row r="86" spans="1:10" s="122" customFormat="1" ht="55.5" customHeight="1">
      <c r="A86" s="21" t="s">
        <v>37</v>
      </c>
      <c r="B86" s="22">
        <f>68973.1+6350+14600+4395+181+688+15260.5+90+16194</f>
        <v>126731.6</v>
      </c>
      <c r="C86" s="148" t="s">
        <v>166</v>
      </c>
      <c r="D86" s="45">
        <v>30</v>
      </c>
      <c r="E86" s="156" t="s">
        <v>147</v>
      </c>
      <c r="F86" s="45">
        <v>1102</v>
      </c>
      <c r="G86" s="97" t="s">
        <v>110</v>
      </c>
      <c r="H86" s="78"/>
      <c r="I86" s="19"/>
      <c r="J86" s="73"/>
    </row>
    <row r="87" spans="1:10" s="125" customFormat="1" ht="17.25" customHeight="1">
      <c r="A87" s="27" t="s">
        <v>20</v>
      </c>
      <c r="B87" s="28">
        <f>SUM(B86:B86)</f>
        <v>126731.6</v>
      </c>
      <c r="C87" s="147"/>
      <c r="D87" s="57">
        <f>SUM(D85:D86)</f>
        <v>80</v>
      </c>
      <c r="E87" s="159"/>
      <c r="F87" s="57">
        <f>F86</f>
        <v>1102</v>
      </c>
      <c r="G87" s="102"/>
      <c r="H87" s="86"/>
      <c r="I87" s="60"/>
      <c r="J87" s="129"/>
    </row>
    <row r="88" spans="1:10" s="122" customFormat="1" ht="52.5" customHeight="1">
      <c r="A88" s="21" t="s">
        <v>30</v>
      </c>
      <c r="B88" s="22"/>
      <c r="C88" s="148" t="s">
        <v>83</v>
      </c>
      <c r="D88" s="59">
        <v>50</v>
      </c>
      <c r="E88" s="156" t="s">
        <v>171</v>
      </c>
      <c r="F88" s="45"/>
      <c r="G88" s="97"/>
      <c r="H88" s="78"/>
      <c r="I88" s="19"/>
      <c r="J88" s="73"/>
    </row>
    <row r="89" spans="1:10" s="122" customFormat="1" ht="52.5" customHeight="1">
      <c r="A89" s="21" t="s">
        <v>30</v>
      </c>
      <c r="B89" s="22">
        <f>25303.96+54310.84+4420+6485+2350+1170</f>
        <v>94039.79999999999</v>
      </c>
      <c r="C89" s="148" t="s">
        <v>175</v>
      </c>
      <c r="D89" s="45">
        <v>80</v>
      </c>
      <c r="E89" s="156" t="s">
        <v>147</v>
      </c>
      <c r="F89" s="45">
        <v>435</v>
      </c>
      <c r="G89" s="97" t="s">
        <v>110</v>
      </c>
      <c r="H89" s="78"/>
      <c r="I89" s="19"/>
      <c r="J89" s="73"/>
    </row>
    <row r="90" spans="1:10" s="125" customFormat="1" ht="17.25" customHeight="1">
      <c r="A90" s="27" t="s">
        <v>20</v>
      </c>
      <c r="B90" s="28">
        <f>SUM(B89:B89)</f>
        <v>94039.79999999999</v>
      </c>
      <c r="C90" s="147"/>
      <c r="D90" s="57">
        <f>SUM(D88:D89)</f>
        <v>130</v>
      </c>
      <c r="E90" s="159"/>
      <c r="F90" s="57">
        <f>F89</f>
        <v>435</v>
      </c>
      <c r="G90" s="102"/>
      <c r="H90" s="86"/>
      <c r="I90" s="60"/>
      <c r="J90" s="129"/>
    </row>
    <row r="91" spans="1:10" s="122" customFormat="1" ht="40.5" customHeight="1">
      <c r="A91" s="21" t="s">
        <v>57</v>
      </c>
      <c r="B91" s="22"/>
      <c r="C91" s="148" t="s">
        <v>83</v>
      </c>
      <c r="D91" s="59">
        <v>50</v>
      </c>
      <c r="E91" s="156" t="s">
        <v>171</v>
      </c>
      <c r="F91" s="45"/>
      <c r="G91" s="97"/>
      <c r="H91" s="78"/>
      <c r="I91" s="19"/>
      <c r="J91" s="73"/>
    </row>
    <row r="92" spans="1:10" s="122" customFormat="1" ht="40.5" customHeight="1">
      <c r="A92" s="21" t="s">
        <v>57</v>
      </c>
      <c r="B92" s="22"/>
      <c r="C92" s="148" t="s">
        <v>83</v>
      </c>
      <c r="D92" s="59">
        <v>955</v>
      </c>
      <c r="E92" s="156" t="s">
        <v>153</v>
      </c>
      <c r="F92" s="45"/>
      <c r="G92" s="97"/>
      <c r="H92" s="78"/>
      <c r="I92" s="19"/>
      <c r="J92" s="73"/>
    </row>
    <row r="93" spans="1:10" s="122" customFormat="1" ht="54.75" customHeight="1">
      <c r="A93" s="21" t="s">
        <v>57</v>
      </c>
      <c r="B93" s="22">
        <f>734+138.97+312</f>
        <v>1184.97</v>
      </c>
      <c r="C93" s="148" t="s">
        <v>98</v>
      </c>
      <c r="D93" s="45">
        <v>30</v>
      </c>
      <c r="E93" s="156" t="s">
        <v>147</v>
      </c>
      <c r="F93" s="45">
        <v>580.5</v>
      </c>
      <c r="G93" s="97" t="s">
        <v>110</v>
      </c>
      <c r="H93" s="78"/>
      <c r="I93" s="19"/>
      <c r="J93" s="73"/>
    </row>
    <row r="94" spans="1:10" s="125" customFormat="1" ht="17.25" customHeight="1">
      <c r="A94" s="27" t="s">
        <v>20</v>
      </c>
      <c r="B94" s="28">
        <f>SUM(B93:B93)</f>
        <v>1184.97</v>
      </c>
      <c r="C94" s="147"/>
      <c r="D94" s="57">
        <f>SUM(D91:D93)</f>
        <v>1035</v>
      </c>
      <c r="E94" s="159"/>
      <c r="F94" s="57">
        <f>F93</f>
        <v>580.5</v>
      </c>
      <c r="G94" s="102"/>
      <c r="H94" s="86"/>
      <c r="I94" s="60"/>
      <c r="J94" s="129"/>
    </row>
    <row r="95" spans="1:10" s="122" customFormat="1" ht="53.25" customHeight="1">
      <c r="A95" s="21" t="s">
        <v>31</v>
      </c>
      <c r="B95" s="22">
        <f>48481.32+1116+463.5+4611+3640.2+9894.23+11220.49-471+7308+5465+6844+2330.4+352+7268.67+7427.69</f>
        <v>115951.5</v>
      </c>
      <c r="C95" s="148" t="s">
        <v>167</v>
      </c>
      <c r="D95" s="45">
        <f>9986+7997</f>
        <v>17983</v>
      </c>
      <c r="E95" s="156" t="s">
        <v>121</v>
      </c>
      <c r="F95" s="45">
        <v>1189</v>
      </c>
      <c r="G95" s="97" t="s">
        <v>110</v>
      </c>
      <c r="H95" s="78"/>
      <c r="I95" s="19"/>
      <c r="J95" s="73"/>
    </row>
    <row r="96" spans="1:10" s="122" customFormat="1" ht="53.25" customHeight="1">
      <c r="A96" s="21" t="s">
        <v>31</v>
      </c>
      <c r="B96" s="22"/>
      <c r="C96" s="148" t="s">
        <v>84</v>
      </c>
      <c r="D96" s="45">
        <v>471</v>
      </c>
      <c r="E96" s="156" t="s">
        <v>153</v>
      </c>
      <c r="F96" s="45"/>
      <c r="G96" s="97"/>
      <c r="H96" s="78"/>
      <c r="I96" s="19"/>
      <c r="J96" s="73"/>
    </row>
    <row r="97" spans="1:10" s="122" customFormat="1" ht="38.25" customHeight="1">
      <c r="A97" s="21" t="s">
        <v>31</v>
      </c>
      <c r="B97" s="22"/>
      <c r="C97" s="148" t="s">
        <v>202</v>
      </c>
      <c r="D97" s="45">
        <f>58547+54000+87000</f>
        <v>199547</v>
      </c>
      <c r="E97" s="156" t="s">
        <v>196</v>
      </c>
      <c r="F97" s="45"/>
      <c r="G97" s="97"/>
      <c r="H97" s="78"/>
      <c r="I97" s="19"/>
      <c r="J97" s="73"/>
    </row>
    <row r="98" spans="1:10" s="122" customFormat="1" ht="38.25" customHeight="1">
      <c r="A98" s="21" t="s">
        <v>31</v>
      </c>
      <c r="B98" s="22"/>
      <c r="C98" s="148" t="s">
        <v>84</v>
      </c>
      <c r="D98" s="45">
        <v>50</v>
      </c>
      <c r="E98" s="156" t="s">
        <v>171</v>
      </c>
      <c r="F98" s="45"/>
      <c r="G98" s="97"/>
      <c r="H98" s="78"/>
      <c r="I98" s="19"/>
      <c r="J98" s="73"/>
    </row>
    <row r="99" spans="1:10" s="122" customFormat="1" ht="53.25" customHeight="1">
      <c r="A99" s="21" t="s">
        <v>31</v>
      </c>
      <c r="B99" s="22"/>
      <c r="C99" s="148" t="s">
        <v>84</v>
      </c>
      <c r="D99" s="45">
        <v>80</v>
      </c>
      <c r="E99" s="156" t="s">
        <v>147</v>
      </c>
      <c r="F99" s="45"/>
      <c r="G99" s="97"/>
      <c r="H99" s="78"/>
      <c r="I99" s="19"/>
      <c r="J99" s="73"/>
    </row>
    <row r="100" spans="1:10" s="125" customFormat="1" ht="17.25" customHeight="1">
      <c r="A100" s="27" t="s">
        <v>20</v>
      </c>
      <c r="B100" s="28">
        <f>SUM(B95:B99)</f>
        <v>115951.5</v>
      </c>
      <c r="C100" s="147"/>
      <c r="D100" s="61">
        <f>SUM(D95:D99)</f>
        <v>218131</v>
      </c>
      <c r="E100" s="159"/>
      <c r="F100" s="57">
        <f>F99</f>
        <v>0</v>
      </c>
      <c r="G100" s="102"/>
      <c r="H100" s="86"/>
      <c r="I100" s="60"/>
      <c r="J100" s="129"/>
    </row>
    <row r="101" spans="1:10" s="125" customFormat="1" ht="30" customHeight="1">
      <c r="A101" s="444" t="s">
        <v>58</v>
      </c>
      <c r="B101" s="28"/>
      <c r="C101" s="147" t="s">
        <v>203</v>
      </c>
      <c r="D101" s="45">
        <f>23500+6400</f>
        <v>29900</v>
      </c>
      <c r="E101" s="162" t="s">
        <v>198</v>
      </c>
      <c r="F101" s="57"/>
      <c r="G101" s="102"/>
      <c r="H101" s="86"/>
      <c r="I101" s="60"/>
      <c r="J101" s="129"/>
    </row>
    <row r="102" spans="1:10" s="125" customFormat="1" ht="29.25" customHeight="1">
      <c r="A102" s="468"/>
      <c r="B102" s="28"/>
      <c r="C102" s="147"/>
      <c r="D102" s="61"/>
      <c r="E102" s="159"/>
      <c r="F102" s="57"/>
      <c r="G102" s="102"/>
      <c r="H102" s="86"/>
      <c r="I102" s="60"/>
      <c r="J102" s="129"/>
    </row>
    <row r="103" spans="1:10" s="125" customFormat="1" ht="81.75" customHeight="1">
      <c r="A103" s="468"/>
      <c r="B103" s="28"/>
      <c r="C103" s="148" t="s">
        <v>84</v>
      </c>
      <c r="D103" s="45">
        <v>50</v>
      </c>
      <c r="E103" s="156" t="s">
        <v>171</v>
      </c>
      <c r="F103" s="59">
        <v>754</v>
      </c>
      <c r="G103" s="97" t="s">
        <v>110</v>
      </c>
      <c r="H103" s="86"/>
      <c r="I103" s="60"/>
      <c r="J103" s="129"/>
    </row>
    <row r="104" spans="1:10" s="125" customFormat="1" ht="100.5" customHeight="1">
      <c r="A104" s="445"/>
      <c r="B104" s="65"/>
      <c r="C104" s="148" t="s">
        <v>84</v>
      </c>
      <c r="D104" s="65">
        <v>30</v>
      </c>
      <c r="E104" s="156" t="s">
        <v>147</v>
      </c>
      <c r="F104" s="59">
        <v>7040</v>
      </c>
      <c r="G104" s="97" t="s">
        <v>72</v>
      </c>
      <c r="H104" s="21"/>
      <c r="I104" s="86"/>
      <c r="J104" s="129"/>
    </row>
    <row r="105" spans="1:10" s="125" customFormat="1" ht="16.5" customHeight="1">
      <c r="A105" s="27" t="s">
        <v>20</v>
      </c>
      <c r="B105" s="66">
        <f>B104</f>
        <v>0</v>
      </c>
      <c r="C105" s="146"/>
      <c r="D105" s="66">
        <f>SUM(D101:D104)</f>
        <v>29980</v>
      </c>
      <c r="E105" s="160"/>
      <c r="F105" s="61">
        <f>F104+F103</f>
        <v>7794</v>
      </c>
      <c r="G105" s="102"/>
      <c r="H105" s="86"/>
      <c r="I105" s="86"/>
      <c r="J105" s="129"/>
    </row>
    <row r="106" spans="1:10" s="125" customFormat="1" ht="38.25" customHeight="1">
      <c r="A106" s="21" t="s">
        <v>33</v>
      </c>
      <c r="B106" s="65">
        <v>13730</v>
      </c>
      <c r="C106" s="148" t="s">
        <v>91</v>
      </c>
      <c r="D106" s="144">
        <v>206699.6</v>
      </c>
      <c r="E106" s="157" t="s">
        <v>100</v>
      </c>
      <c r="F106" s="59">
        <v>232</v>
      </c>
      <c r="G106" s="97" t="s">
        <v>110</v>
      </c>
      <c r="H106" s="21"/>
      <c r="I106" s="86"/>
      <c r="J106" s="129"/>
    </row>
    <row r="107" spans="1:10" s="125" customFormat="1" ht="38.25" customHeight="1">
      <c r="A107" s="21" t="s">
        <v>33</v>
      </c>
      <c r="B107" s="65"/>
      <c r="C107" s="148" t="s">
        <v>84</v>
      </c>
      <c r="D107" s="143">
        <v>30</v>
      </c>
      <c r="E107" s="156" t="s">
        <v>147</v>
      </c>
      <c r="F107" s="59"/>
      <c r="G107" s="97"/>
      <c r="H107" s="21"/>
      <c r="I107" s="86"/>
      <c r="J107" s="129"/>
    </row>
    <row r="108" spans="1:10" s="125" customFormat="1" ht="38.25" customHeight="1">
      <c r="A108" s="21" t="s">
        <v>33</v>
      </c>
      <c r="B108" s="65"/>
      <c r="C108" s="148" t="s">
        <v>84</v>
      </c>
      <c r="D108" s="45">
        <v>50</v>
      </c>
      <c r="E108" s="156" t="s">
        <v>171</v>
      </c>
      <c r="F108" s="59"/>
      <c r="G108" s="97"/>
      <c r="H108" s="21"/>
      <c r="I108" s="86"/>
      <c r="J108" s="129"/>
    </row>
    <row r="109" spans="1:10" s="125" customFormat="1" ht="24" customHeight="1">
      <c r="A109" s="27" t="s">
        <v>20</v>
      </c>
      <c r="B109" s="66">
        <f>SUM(B106)</f>
        <v>13730</v>
      </c>
      <c r="C109" s="146"/>
      <c r="D109" s="141">
        <f>SUM(D106:D108)</f>
        <v>206779.6</v>
      </c>
      <c r="E109" s="160"/>
      <c r="F109" s="61">
        <f>F108</f>
        <v>0</v>
      </c>
      <c r="G109" s="102"/>
      <c r="H109" s="86"/>
      <c r="I109" s="86"/>
      <c r="J109" s="129"/>
    </row>
    <row r="110" spans="1:10" s="125" customFormat="1" ht="37.5" customHeight="1">
      <c r="A110" s="448" t="s">
        <v>45</v>
      </c>
      <c r="B110" s="66"/>
      <c r="C110" s="146" t="s">
        <v>205</v>
      </c>
      <c r="D110" s="149">
        <v>31994.88</v>
      </c>
      <c r="E110" s="156" t="s">
        <v>196</v>
      </c>
      <c r="F110" s="61"/>
      <c r="G110" s="102"/>
      <c r="H110" s="86"/>
      <c r="I110" s="86"/>
      <c r="J110" s="129"/>
    </row>
    <row r="111" spans="1:10" s="125" customFormat="1" ht="24" customHeight="1">
      <c r="A111" s="484"/>
      <c r="B111" s="65">
        <f>140.4+4000+25450</f>
        <v>29590.4</v>
      </c>
      <c r="C111" s="146" t="s">
        <v>204</v>
      </c>
      <c r="D111" s="141"/>
      <c r="E111" s="160"/>
      <c r="F111" s="61"/>
      <c r="G111" s="102"/>
      <c r="H111" s="86"/>
      <c r="I111" s="86"/>
      <c r="J111" s="129"/>
    </row>
    <row r="112" spans="1:10" s="125" customFormat="1" ht="52.5" customHeight="1">
      <c r="A112" s="484"/>
      <c r="B112" s="66"/>
      <c r="C112" s="148" t="s">
        <v>84</v>
      </c>
      <c r="D112" s="45">
        <v>50</v>
      </c>
      <c r="E112" s="156" t="s">
        <v>171</v>
      </c>
      <c r="F112" s="45">
        <v>1116.5</v>
      </c>
      <c r="G112" s="97" t="s">
        <v>110</v>
      </c>
      <c r="H112" s="86"/>
      <c r="I112" s="86"/>
      <c r="J112" s="129"/>
    </row>
    <row r="113" spans="1:10" s="125" customFormat="1" ht="98.25" customHeight="1">
      <c r="A113" s="449"/>
      <c r="B113" s="63">
        <v>450</v>
      </c>
      <c r="C113" s="148" t="s">
        <v>83</v>
      </c>
      <c r="D113" s="63">
        <v>80</v>
      </c>
      <c r="E113" s="156" t="s">
        <v>147</v>
      </c>
      <c r="F113" s="59">
        <f>15920+1080+2616.7</f>
        <v>19616.7</v>
      </c>
      <c r="G113" s="97" t="s">
        <v>73</v>
      </c>
      <c r="H113" s="86"/>
      <c r="I113" s="86"/>
      <c r="J113" s="129"/>
    </row>
    <row r="114" spans="1:10" s="125" customFormat="1" ht="16.5" customHeight="1">
      <c r="A114" s="27" t="s">
        <v>20</v>
      </c>
      <c r="B114" s="64">
        <f>SUM(B111:B113)</f>
        <v>30040.4</v>
      </c>
      <c r="C114" s="146"/>
      <c r="D114" s="61">
        <f>SUM(D110:D113)</f>
        <v>32124.88</v>
      </c>
      <c r="E114" s="160"/>
      <c r="F114" s="61">
        <f>F113+F112</f>
        <v>20733.2</v>
      </c>
      <c r="G114" s="102"/>
      <c r="H114" s="86"/>
      <c r="I114" s="86"/>
      <c r="J114" s="129"/>
    </row>
    <row r="115" spans="1:10" s="125" customFormat="1" ht="51" customHeight="1">
      <c r="A115" s="21" t="s">
        <v>59</v>
      </c>
      <c r="B115" s="63">
        <f>6220+50+12150+320+10700+800</f>
        <v>30240</v>
      </c>
      <c r="C115" s="148" t="s">
        <v>206</v>
      </c>
      <c r="D115" s="63">
        <v>80</v>
      </c>
      <c r="E115" s="156" t="s">
        <v>147</v>
      </c>
      <c r="F115" s="59">
        <v>1160</v>
      </c>
      <c r="G115" s="97" t="s">
        <v>110</v>
      </c>
      <c r="H115" s="86"/>
      <c r="I115" s="86"/>
      <c r="J115" s="129"/>
    </row>
    <row r="116" spans="1:10" s="125" customFormat="1" ht="51" customHeight="1">
      <c r="A116" s="21" t="s">
        <v>59</v>
      </c>
      <c r="B116" s="63"/>
      <c r="C116" s="148" t="s">
        <v>207</v>
      </c>
      <c r="D116" s="45">
        <v>9939</v>
      </c>
      <c r="E116" s="156" t="s">
        <v>121</v>
      </c>
      <c r="F116" s="59"/>
      <c r="G116" s="97"/>
      <c r="H116" s="86"/>
      <c r="I116" s="86"/>
      <c r="J116" s="129"/>
    </row>
    <row r="117" spans="1:10" s="125" customFormat="1" ht="51" customHeight="1">
      <c r="A117" s="21" t="s">
        <v>59</v>
      </c>
      <c r="B117" s="63">
        <v>190</v>
      </c>
      <c r="C117" s="148" t="s">
        <v>84</v>
      </c>
      <c r="D117" s="45">
        <v>50</v>
      </c>
      <c r="E117" s="156" t="s">
        <v>171</v>
      </c>
      <c r="F117" s="59"/>
      <c r="G117" s="97"/>
      <c r="H117" s="86"/>
      <c r="I117" s="86"/>
      <c r="J117" s="129"/>
    </row>
    <row r="118" spans="1:10" s="125" customFormat="1" ht="16.5" customHeight="1">
      <c r="A118" s="27" t="s">
        <v>20</v>
      </c>
      <c r="B118" s="64">
        <f>SUM(B115:B117)</f>
        <v>30430</v>
      </c>
      <c r="C118" s="146"/>
      <c r="D118" s="61">
        <f>SUM(D115:D117)</f>
        <v>10069</v>
      </c>
      <c r="E118" s="160"/>
      <c r="F118" s="61">
        <f>F117</f>
        <v>0</v>
      </c>
      <c r="G118" s="102"/>
      <c r="H118" s="86"/>
      <c r="I118" s="86"/>
      <c r="J118" s="129"/>
    </row>
    <row r="119" spans="1:10" s="125" customFormat="1" ht="53.25" customHeight="1">
      <c r="A119" s="21" t="s">
        <v>50</v>
      </c>
      <c r="B119" s="63"/>
      <c r="C119" s="148" t="s">
        <v>83</v>
      </c>
      <c r="D119" s="63">
        <v>50</v>
      </c>
      <c r="E119" s="156" t="s">
        <v>171</v>
      </c>
      <c r="F119" s="59">
        <v>43.5</v>
      </c>
      <c r="G119" s="97" t="s">
        <v>110</v>
      </c>
      <c r="H119" s="86"/>
      <c r="I119" s="86"/>
      <c r="J119" s="129"/>
    </row>
    <row r="120" spans="1:10" s="125" customFormat="1" ht="53.25" customHeight="1">
      <c r="A120" s="21" t="s">
        <v>50</v>
      </c>
      <c r="B120" s="63">
        <v>3750</v>
      </c>
      <c r="C120" s="148" t="s">
        <v>172</v>
      </c>
      <c r="D120" s="63">
        <v>30</v>
      </c>
      <c r="E120" s="156" t="s">
        <v>147</v>
      </c>
      <c r="F120" s="59">
        <v>43.5</v>
      </c>
      <c r="G120" s="97" t="s">
        <v>110</v>
      </c>
      <c r="H120" s="86"/>
      <c r="I120" s="86"/>
      <c r="J120" s="129"/>
    </row>
    <row r="121" spans="1:10" s="125" customFormat="1" ht="16.5" customHeight="1">
      <c r="A121" s="27" t="s">
        <v>20</v>
      </c>
      <c r="B121" s="64">
        <f>SUM(B120)</f>
        <v>3750</v>
      </c>
      <c r="C121" s="146"/>
      <c r="D121" s="61">
        <f>SUM(D119:D120)</f>
        <v>80</v>
      </c>
      <c r="E121" s="160"/>
      <c r="F121" s="61">
        <f>F120</f>
        <v>43.5</v>
      </c>
      <c r="G121" s="102"/>
      <c r="H121" s="86"/>
      <c r="I121" s="86"/>
      <c r="J121" s="129"/>
    </row>
    <row r="122" spans="1:10" s="125" customFormat="1" ht="53.25" customHeight="1">
      <c r="A122" s="21" t="s">
        <v>60</v>
      </c>
      <c r="B122" s="63"/>
      <c r="C122" s="148" t="s">
        <v>84</v>
      </c>
      <c r="D122" s="63">
        <v>30</v>
      </c>
      <c r="E122" s="156" t="s">
        <v>147</v>
      </c>
      <c r="F122" s="59"/>
      <c r="G122" s="97"/>
      <c r="H122" s="86"/>
      <c r="I122" s="86"/>
      <c r="J122" s="129"/>
    </row>
    <row r="123" spans="1:10" s="125" customFormat="1" ht="43.5" customHeight="1">
      <c r="A123" s="21" t="s">
        <v>60</v>
      </c>
      <c r="B123" s="63"/>
      <c r="C123" s="148" t="s">
        <v>84</v>
      </c>
      <c r="D123" s="63">
        <v>111</v>
      </c>
      <c r="E123" s="156" t="s">
        <v>208</v>
      </c>
      <c r="F123" s="59"/>
      <c r="G123" s="97"/>
      <c r="H123" s="86"/>
      <c r="I123" s="86"/>
      <c r="J123" s="129"/>
    </row>
    <row r="124" spans="1:10" s="125" customFormat="1" ht="43.5" customHeight="1">
      <c r="A124" s="21" t="s">
        <v>60</v>
      </c>
      <c r="B124" s="63"/>
      <c r="C124" s="148" t="s">
        <v>84</v>
      </c>
      <c r="D124" s="63">
        <v>50</v>
      </c>
      <c r="E124" s="156" t="s">
        <v>171</v>
      </c>
      <c r="F124" s="59"/>
      <c r="G124" s="97"/>
      <c r="H124" s="86"/>
      <c r="I124" s="86"/>
      <c r="J124" s="129"/>
    </row>
    <row r="125" spans="1:10" s="125" customFormat="1" ht="53.25" customHeight="1">
      <c r="A125" s="21" t="s">
        <v>60</v>
      </c>
      <c r="B125" s="63">
        <f>1910+2376+1010+8529+880+1271</f>
        <v>15976</v>
      </c>
      <c r="C125" s="148" t="s">
        <v>169</v>
      </c>
      <c r="D125" s="63">
        <v>15998</v>
      </c>
      <c r="E125" s="157" t="s">
        <v>140</v>
      </c>
      <c r="F125" s="59">
        <v>609</v>
      </c>
      <c r="G125" s="97" t="s">
        <v>110</v>
      </c>
      <c r="H125" s="86"/>
      <c r="I125" s="86"/>
      <c r="J125" s="129"/>
    </row>
    <row r="126" spans="1:10" s="125" customFormat="1" ht="16.5" customHeight="1">
      <c r="A126" s="27" t="s">
        <v>20</v>
      </c>
      <c r="B126" s="64">
        <f>SUM(B125)</f>
        <v>15976</v>
      </c>
      <c r="C126" s="146"/>
      <c r="D126" s="61">
        <f>SUM(D122:D125)</f>
        <v>16189</v>
      </c>
      <c r="E126" s="160"/>
      <c r="F126" s="61">
        <f>F125</f>
        <v>609</v>
      </c>
      <c r="G126" s="102"/>
      <c r="H126" s="86"/>
      <c r="I126" s="86"/>
      <c r="J126" s="129"/>
    </row>
    <row r="127" spans="1:10" s="125" customFormat="1" ht="55.5" customHeight="1">
      <c r="A127" s="21" t="s">
        <v>61</v>
      </c>
      <c r="B127" s="63">
        <v>24202.67</v>
      </c>
      <c r="C127" s="148" t="s">
        <v>137</v>
      </c>
      <c r="D127" s="63">
        <v>30</v>
      </c>
      <c r="E127" s="156" t="s">
        <v>147</v>
      </c>
      <c r="F127" s="59">
        <v>580</v>
      </c>
      <c r="G127" s="97" t="s">
        <v>110</v>
      </c>
      <c r="H127" s="86"/>
      <c r="I127" s="86"/>
      <c r="J127" s="129"/>
    </row>
    <row r="128" spans="1:10" s="125" customFormat="1" ht="55.5" customHeight="1">
      <c r="A128" s="21" t="s">
        <v>61</v>
      </c>
      <c r="B128" s="63"/>
      <c r="C128" s="148" t="s">
        <v>176</v>
      </c>
      <c r="D128" s="63">
        <v>7902</v>
      </c>
      <c r="E128" s="157" t="s">
        <v>140</v>
      </c>
      <c r="F128" s="59"/>
      <c r="G128" s="97"/>
      <c r="H128" s="86"/>
      <c r="I128" s="86"/>
      <c r="J128" s="129"/>
    </row>
    <row r="129" spans="1:10" s="125" customFormat="1" ht="45.75" customHeight="1">
      <c r="A129" s="21" t="s">
        <v>61</v>
      </c>
      <c r="B129" s="63"/>
      <c r="C129" s="148" t="s">
        <v>84</v>
      </c>
      <c r="D129" s="63">
        <v>50</v>
      </c>
      <c r="E129" s="156" t="s">
        <v>171</v>
      </c>
      <c r="F129" s="59"/>
      <c r="G129" s="97"/>
      <c r="H129" s="86"/>
      <c r="I129" s="86"/>
      <c r="J129" s="129"/>
    </row>
    <row r="130" spans="1:10" s="125" customFormat="1" ht="16.5" customHeight="1">
      <c r="A130" s="27" t="s">
        <v>20</v>
      </c>
      <c r="B130" s="64">
        <f>SUM(B127:B129)</f>
        <v>24202.67</v>
      </c>
      <c r="C130" s="146"/>
      <c r="D130" s="61">
        <f>SUM(D127:D129)</f>
        <v>7982</v>
      </c>
      <c r="E130" s="160"/>
      <c r="F130" s="61">
        <f>F129</f>
        <v>0</v>
      </c>
      <c r="G130" s="102"/>
      <c r="H130" s="86"/>
      <c r="I130" s="86"/>
      <c r="J130" s="129"/>
    </row>
    <row r="131" spans="1:10" s="125" customFormat="1" ht="55.5" customHeight="1">
      <c r="A131" s="115"/>
      <c r="B131" s="64"/>
      <c r="C131" s="148" t="s">
        <v>84</v>
      </c>
      <c r="D131" s="46">
        <v>30</v>
      </c>
      <c r="E131" s="156" t="s">
        <v>147</v>
      </c>
      <c r="F131" s="61">
        <v>1200</v>
      </c>
      <c r="G131" s="97" t="s">
        <v>109</v>
      </c>
      <c r="H131" s="86"/>
      <c r="I131" s="86"/>
      <c r="J131" s="129"/>
    </row>
    <row r="132" spans="1:10" s="125" customFormat="1" ht="45.75" customHeight="1">
      <c r="A132" s="448" t="s">
        <v>62</v>
      </c>
      <c r="B132" s="64"/>
      <c r="C132" s="148" t="s">
        <v>84</v>
      </c>
      <c r="D132" s="63">
        <v>50</v>
      </c>
      <c r="E132" s="156" t="s">
        <v>171</v>
      </c>
      <c r="F132" s="61"/>
      <c r="G132" s="97"/>
      <c r="H132" s="86"/>
      <c r="I132" s="86"/>
      <c r="J132" s="129"/>
    </row>
    <row r="133" spans="1:10" s="125" customFormat="1" ht="74.25" customHeight="1">
      <c r="A133" s="449"/>
      <c r="B133" s="63">
        <f>33715+16900+31300+8000+2000</f>
        <v>91915</v>
      </c>
      <c r="C133" s="148" t="s">
        <v>105</v>
      </c>
      <c r="D133" s="63">
        <v>595000</v>
      </c>
      <c r="E133" s="157" t="s">
        <v>101</v>
      </c>
      <c r="F133" s="59">
        <v>1464.5</v>
      </c>
      <c r="G133" s="97" t="s">
        <v>110</v>
      </c>
      <c r="H133" s="86"/>
      <c r="I133" s="86"/>
      <c r="J133" s="129"/>
    </row>
    <row r="134" spans="1:10" s="125" customFormat="1" ht="16.5" customHeight="1">
      <c r="A134" s="27" t="s">
        <v>20</v>
      </c>
      <c r="B134" s="64">
        <f>SUM(B133)</f>
        <v>91915</v>
      </c>
      <c r="C134" s="146"/>
      <c r="D134" s="64">
        <f>SUM(D131:D133)</f>
        <v>595080</v>
      </c>
      <c r="E134" s="160"/>
      <c r="F134" s="61">
        <f>F133+F132</f>
        <v>1464.5</v>
      </c>
      <c r="G134" s="102"/>
      <c r="H134" s="86"/>
      <c r="I134" s="86"/>
      <c r="J134" s="129"/>
    </row>
    <row r="135" spans="1:10" s="125" customFormat="1" ht="41.25" customHeight="1">
      <c r="A135" s="21" t="s">
        <v>46</v>
      </c>
      <c r="B135" s="63"/>
      <c r="C135" s="148" t="s">
        <v>84</v>
      </c>
      <c r="D135" s="63">
        <v>50</v>
      </c>
      <c r="E135" s="156" t="s">
        <v>171</v>
      </c>
      <c r="F135" s="59"/>
      <c r="G135" s="97"/>
      <c r="H135" s="86"/>
      <c r="I135" s="86"/>
      <c r="J135" s="129"/>
    </row>
    <row r="136" spans="1:10" s="125" customFormat="1" ht="52.5" customHeight="1">
      <c r="A136" s="21" t="s">
        <v>46</v>
      </c>
      <c r="B136" s="63">
        <f>10626+29800</f>
        <v>40426</v>
      </c>
      <c r="C136" s="148" t="s">
        <v>88</v>
      </c>
      <c r="D136" s="63">
        <v>30</v>
      </c>
      <c r="E136" s="156" t="s">
        <v>147</v>
      </c>
      <c r="F136" s="59">
        <v>797.5</v>
      </c>
      <c r="G136" s="97" t="s">
        <v>110</v>
      </c>
      <c r="H136" s="86"/>
      <c r="I136" s="86"/>
      <c r="J136" s="129"/>
    </row>
    <row r="137" spans="1:10" s="125" customFormat="1" ht="16.5" customHeight="1">
      <c r="A137" s="27" t="s">
        <v>20</v>
      </c>
      <c r="B137" s="64">
        <f>B136</f>
        <v>40426</v>
      </c>
      <c r="C137" s="146"/>
      <c r="D137" s="61">
        <f>SUM(D135:D136)</f>
        <v>80</v>
      </c>
      <c r="E137" s="160"/>
      <c r="F137" s="61">
        <f>F136</f>
        <v>797.5</v>
      </c>
      <c r="G137" s="102"/>
      <c r="H137" s="86"/>
      <c r="I137" s="86"/>
      <c r="J137" s="129"/>
    </row>
    <row r="138" spans="1:10" s="125" customFormat="1" ht="42.75" customHeight="1">
      <c r="A138" s="21" t="s">
        <v>63</v>
      </c>
      <c r="B138" s="63"/>
      <c r="C138" s="148" t="s">
        <v>84</v>
      </c>
      <c r="D138" s="63">
        <v>50</v>
      </c>
      <c r="E138" s="156" t="s">
        <v>171</v>
      </c>
      <c r="F138" s="59"/>
      <c r="G138" s="97"/>
      <c r="H138" s="86"/>
      <c r="I138" s="86"/>
      <c r="J138" s="129"/>
    </row>
    <row r="139" spans="1:10" s="125" customFormat="1" ht="54.75" customHeight="1">
      <c r="A139" s="21" t="s">
        <v>63</v>
      </c>
      <c r="B139" s="63"/>
      <c r="C139" s="148" t="s">
        <v>84</v>
      </c>
      <c r="D139" s="63">
        <v>30</v>
      </c>
      <c r="E139" s="156" t="s">
        <v>147</v>
      </c>
      <c r="F139" s="59"/>
      <c r="G139" s="97"/>
      <c r="H139" s="86"/>
      <c r="I139" s="86"/>
      <c r="J139" s="129"/>
    </row>
    <row r="140" spans="1:10" s="125" customFormat="1" ht="54.75" customHeight="1">
      <c r="A140" s="21" t="s">
        <v>63</v>
      </c>
      <c r="B140" s="63"/>
      <c r="C140" s="148" t="s">
        <v>150</v>
      </c>
      <c r="D140" s="63">
        <v>9823</v>
      </c>
      <c r="E140" s="157" t="s">
        <v>140</v>
      </c>
      <c r="F140" s="59"/>
      <c r="G140" s="97"/>
      <c r="H140" s="86"/>
      <c r="I140" s="86"/>
      <c r="J140" s="129"/>
    </row>
    <row r="141" spans="1:10" s="125" customFormat="1" ht="54.75" customHeight="1">
      <c r="A141" s="21" t="s">
        <v>63</v>
      </c>
      <c r="B141" s="63"/>
      <c r="C141" s="148" t="s">
        <v>209</v>
      </c>
      <c r="D141" s="63">
        <f>42900+16110+38636</f>
        <v>97646</v>
      </c>
      <c r="E141" s="156" t="s">
        <v>196</v>
      </c>
      <c r="F141" s="59"/>
      <c r="G141" s="97"/>
      <c r="H141" s="86"/>
      <c r="I141" s="86"/>
      <c r="J141" s="129"/>
    </row>
    <row r="142" spans="1:10" s="125" customFormat="1" ht="63.75" customHeight="1">
      <c r="A142" s="21" t="s">
        <v>63</v>
      </c>
      <c r="B142" s="63">
        <f>59077.12+4767.19+11654+13702.7+15950</f>
        <v>105151.01</v>
      </c>
      <c r="C142" s="148" t="s">
        <v>92</v>
      </c>
      <c r="D142" s="63">
        <v>686945.25</v>
      </c>
      <c r="E142" s="157" t="s">
        <v>101</v>
      </c>
      <c r="F142" s="59">
        <v>826.5</v>
      </c>
      <c r="G142" s="97" t="s">
        <v>110</v>
      </c>
      <c r="H142" s="86"/>
      <c r="I142" s="86"/>
      <c r="J142" s="129"/>
    </row>
    <row r="143" spans="1:10" s="125" customFormat="1" ht="16.5" customHeight="1">
      <c r="A143" s="27" t="s">
        <v>20</v>
      </c>
      <c r="B143" s="64">
        <f>B142</f>
        <v>105151.01</v>
      </c>
      <c r="C143" s="146"/>
      <c r="D143" s="64">
        <f>SUM(D138:D142)</f>
        <v>794494.25</v>
      </c>
      <c r="E143" s="160"/>
      <c r="F143" s="61">
        <f>F142</f>
        <v>826.5</v>
      </c>
      <c r="G143" s="102"/>
      <c r="H143" s="86"/>
      <c r="I143" s="86"/>
      <c r="J143" s="129"/>
    </row>
    <row r="144" spans="1:10" s="125" customFormat="1" ht="59.25" customHeight="1">
      <c r="A144" s="26" t="s">
        <v>111</v>
      </c>
      <c r="B144" s="64"/>
      <c r="C144" s="146"/>
      <c r="D144" s="140"/>
      <c r="E144" s="160"/>
      <c r="F144" s="61"/>
      <c r="G144" s="102"/>
      <c r="H144" s="45">
        <v>28000</v>
      </c>
      <c r="I144" s="97" t="s">
        <v>112</v>
      </c>
      <c r="J144" s="129"/>
    </row>
    <row r="145" spans="1:10" s="125" customFormat="1" ht="16.5" customHeight="1">
      <c r="A145" s="27" t="s">
        <v>20</v>
      </c>
      <c r="B145" s="64"/>
      <c r="C145" s="146"/>
      <c r="D145" s="64"/>
      <c r="E145" s="160"/>
      <c r="F145" s="61"/>
      <c r="G145" s="102"/>
      <c r="H145" s="74">
        <f>H144</f>
        <v>28000</v>
      </c>
      <c r="I145" s="86"/>
      <c r="J145" s="129"/>
    </row>
    <row r="146" spans="1:10" s="125" customFormat="1" ht="43.5" customHeight="1">
      <c r="A146" s="21" t="s">
        <v>53</v>
      </c>
      <c r="B146" s="63"/>
      <c r="C146" s="148"/>
      <c r="D146" s="63"/>
      <c r="E146" s="161"/>
      <c r="F146" s="59"/>
      <c r="G146" s="102"/>
      <c r="H146" s="86"/>
      <c r="I146" s="86"/>
      <c r="J146" s="129"/>
    </row>
    <row r="147" spans="1:10" s="125" customFormat="1" ht="16.5" customHeight="1">
      <c r="A147" s="27" t="s">
        <v>20</v>
      </c>
      <c r="B147" s="64">
        <f>B146</f>
        <v>0</v>
      </c>
      <c r="C147" s="146"/>
      <c r="D147" s="60"/>
      <c r="E147" s="160"/>
      <c r="F147" s="61"/>
      <c r="G147" s="102"/>
      <c r="H147" s="86"/>
      <c r="I147" s="86"/>
      <c r="J147" s="129"/>
    </row>
    <row r="148" spans="1:10" s="125" customFormat="1" ht="37.5" customHeight="1">
      <c r="A148" s="21" t="s">
        <v>54</v>
      </c>
      <c r="B148" s="63">
        <f>1469.62+120</f>
        <v>1589.62</v>
      </c>
      <c r="C148" s="148" t="s">
        <v>151</v>
      </c>
      <c r="D148" s="63"/>
      <c r="E148" s="161"/>
      <c r="F148" s="59"/>
      <c r="G148" s="103"/>
      <c r="H148" s="86"/>
      <c r="I148" s="86"/>
      <c r="J148" s="129"/>
    </row>
    <row r="149" spans="1:10" s="125" customFormat="1" ht="16.5" customHeight="1">
      <c r="A149" s="27" t="s">
        <v>20</v>
      </c>
      <c r="B149" s="64">
        <f>B148</f>
        <v>1589.62</v>
      </c>
      <c r="C149" s="146"/>
      <c r="D149" s="60"/>
      <c r="E149" s="160"/>
      <c r="F149" s="61"/>
      <c r="G149" s="102"/>
      <c r="H149" s="86"/>
      <c r="I149" s="86"/>
      <c r="J149" s="129"/>
    </row>
    <row r="150" spans="1:10" s="125" customFormat="1" ht="33.75" customHeight="1">
      <c r="A150" s="21" t="s">
        <v>103</v>
      </c>
      <c r="B150" s="63">
        <f>2435+1465</f>
        <v>3900</v>
      </c>
      <c r="C150" s="148" t="s">
        <v>177</v>
      </c>
      <c r="D150" s="63"/>
      <c r="E150" s="161"/>
      <c r="F150" s="59"/>
      <c r="G150" s="103"/>
      <c r="H150" s="86"/>
      <c r="I150" s="86"/>
      <c r="J150" s="129"/>
    </row>
    <row r="151" spans="1:10" s="125" customFormat="1" ht="16.5" customHeight="1">
      <c r="A151" s="27" t="s">
        <v>20</v>
      </c>
      <c r="B151" s="64">
        <f>B150</f>
        <v>3900</v>
      </c>
      <c r="C151" s="146"/>
      <c r="D151" s="60"/>
      <c r="E151" s="160"/>
      <c r="F151" s="61"/>
      <c r="G151" s="102"/>
      <c r="H151" s="86"/>
      <c r="I151" s="86"/>
      <c r="J151" s="129"/>
    </row>
    <row r="152" spans="1:10" s="125" customFormat="1" ht="19.5" customHeight="1">
      <c r="A152" s="21" t="s">
        <v>67</v>
      </c>
      <c r="B152" s="63"/>
      <c r="C152" s="148"/>
      <c r="D152" s="63"/>
      <c r="E152" s="161"/>
      <c r="F152" s="59"/>
      <c r="G152" s="103"/>
      <c r="H152" s="86"/>
      <c r="I152" s="86"/>
      <c r="J152" s="129"/>
    </row>
    <row r="153" spans="1:10" s="125" customFormat="1" ht="16.5" customHeight="1">
      <c r="A153" s="27" t="s">
        <v>20</v>
      </c>
      <c r="B153" s="64">
        <f>SUM(B152)</f>
        <v>0</v>
      </c>
      <c r="C153" s="146"/>
      <c r="D153" s="60"/>
      <c r="E153" s="160"/>
      <c r="F153" s="61"/>
      <c r="G153" s="102"/>
      <c r="H153" s="86"/>
      <c r="I153" s="86"/>
      <c r="J153" s="129"/>
    </row>
    <row r="154" spans="1:10" s="125" customFormat="1" ht="19.5" customHeight="1">
      <c r="A154" s="21" t="s">
        <v>64</v>
      </c>
      <c r="B154" s="63">
        <f>1003.8+30.87+43.81+1554</f>
        <v>2632.4799999999996</v>
      </c>
      <c r="C154" s="148" t="s">
        <v>138</v>
      </c>
      <c r="D154" s="63"/>
      <c r="E154" s="161"/>
      <c r="F154" s="59"/>
      <c r="G154" s="103"/>
      <c r="H154" s="86"/>
      <c r="I154" s="86"/>
      <c r="J154" s="129"/>
    </row>
    <row r="155" spans="1:10" s="125" customFormat="1" ht="19.5" customHeight="1">
      <c r="A155" s="21" t="s">
        <v>210</v>
      </c>
      <c r="B155" s="63">
        <v>1120</v>
      </c>
      <c r="C155" s="148" t="s">
        <v>138</v>
      </c>
      <c r="D155" s="63"/>
      <c r="E155" s="161"/>
      <c r="F155" s="59"/>
      <c r="G155" s="103"/>
      <c r="H155" s="86"/>
      <c r="I155" s="86"/>
      <c r="J155" s="129"/>
    </row>
    <row r="156" spans="1:10" s="125" customFormat="1" ht="16.5" customHeight="1">
      <c r="A156" s="27" t="s">
        <v>20</v>
      </c>
      <c r="B156" s="64">
        <f>SUM(B154:B155)</f>
        <v>3752.4799999999996</v>
      </c>
      <c r="C156" s="146"/>
      <c r="D156" s="60"/>
      <c r="E156" s="160"/>
      <c r="F156" s="61"/>
      <c r="G156" s="102"/>
      <c r="H156" s="86"/>
      <c r="I156" s="86"/>
      <c r="J156" s="129"/>
    </row>
    <row r="157" spans="1:10" s="125" customFormat="1" ht="25.5" customHeight="1" thickBot="1">
      <c r="A157" s="27" t="s">
        <v>20</v>
      </c>
      <c r="B157" s="28"/>
      <c r="C157" s="146"/>
      <c r="D157" s="63"/>
      <c r="E157" s="160"/>
      <c r="F157" s="61"/>
      <c r="G157" s="102"/>
      <c r="H157" s="86"/>
      <c r="I157" s="86"/>
      <c r="J157" s="129"/>
    </row>
    <row r="158" spans="1:9" s="130" customFormat="1" ht="77.25" customHeight="1" thickBot="1">
      <c r="A158" s="67" t="s">
        <v>70</v>
      </c>
      <c r="B158" s="68">
        <f>SUM(B52+B54+B58+B64+B67+B71+B74+B87+B90+B94+B100+B105+B109+B114+B118+B121+B126+B130+B134+B137+B143+B147+B149+B151+B153+B156)</f>
        <v>1030247.4</v>
      </c>
      <c r="C158" s="68"/>
      <c r="D158" s="68">
        <f>SUM(D58+D64+D67+D71+D74+D87+D90+D94+D100+D105+D109+D114+D118+D121+D126+D130+D134+D137+D143)</f>
        <v>1964048.29</v>
      </c>
      <c r="E158" s="68"/>
      <c r="F158" s="68">
        <f>F54+F64+F67+F71+F74+F87+F90+F105+F109+F114+F118+F121+F126+F130+F134+F137+F143+F157+F58+F100+F94</f>
        <v>38866.2</v>
      </c>
      <c r="G158" s="104"/>
      <c r="H158" s="68">
        <f>H145</f>
        <v>28000</v>
      </c>
      <c r="I158" s="68"/>
    </row>
    <row r="159" spans="1:9" s="130" customFormat="1" ht="93.75" customHeight="1" thickBot="1">
      <c r="A159" s="69" t="s">
        <v>69</v>
      </c>
      <c r="B159" s="70">
        <f>SUM(B50+B158)</f>
        <v>1991717.44</v>
      </c>
      <c r="C159" s="70"/>
      <c r="D159" s="70">
        <f>D158+D50</f>
        <v>1964048.29</v>
      </c>
      <c r="E159" s="70"/>
      <c r="F159" s="70">
        <f>F50+F158</f>
        <v>48223.2</v>
      </c>
      <c r="G159" s="105"/>
      <c r="H159" s="70">
        <f>H50+H158</f>
        <v>28000</v>
      </c>
      <c r="I159" s="70"/>
    </row>
    <row r="160" spans="1:10" s="8" customFormat="1" ht="24" customHeight="1" thickBot="1">
      <c r="A160" s="108"/>
      <c r="B160" s="108"/>
      <c r="C160" s="108"/>
      <c r="D160" s="88"/>
      <c r="E160" s="89"/>
      <c r="F160" s="88"/>
      <c r="G160" s="88"/>
      <c r="H160" s="71"/>
      <c r="I160" s="71"/>
      <c r="J160" s="7"/>
    </row>
    <row r="161" spans="1:10" s="8" customFormat="1" ht="24" customHeight="1">
      <c r="A161" s="108" t="s">
        <v>155</v>
      </c>
      <c r="B161" s="89"/>
      <c r="C161" s="89"/>
      <c r="D161" s="88"/>
      <c r="E161" s="89"/>
      <c r="F161" s="88"/>
      <c r="G161" s="89" t="s">
        <v>95</v>
      </c>
      <c r="H161" s="71"/>
      <c r="I161" s="71"/>
      <c r="J161" s="7"/>
    </row>
    <row r="162" spans="1:10" ht="15.75" customHeight="1">
      <c r="A162" s="90"/>
      <c r="B162" s="90"/>
      <c r="C162" s="91"/>
      <c r="D162" s="92"/>
      <c r="E162" s="93"/>
      <c r="F162" s="90"/>
      <c r="G162" s="90"/>
      <c r="H162" s="73"/>
      <c r="I162" s="73"/>
      <c r="J162" s="2"/>
    </row>
    <row r="163" spans="1:10" ht="11.25" customHeight="1">
      <c r="A163" s="90"/>
      <c r="B163" s="90"/>
      <c r="C163" s="91"/>
      <c r="D163" s="92"/>
      <c r="E163" s="93"/>
      <c r="F163" s="90"/>
      <c r="G163" s="90"/>
      <c r="H163" s="73"/>
      <c r="I163" s="73"/>
      <c r="J163" s="2"/>
    </row>
    <row r="164" spans="1:10" ht="20.25" customHeight="1">
      <c r="A164" s="90" t="s">
        <v>35</v>
      </c>
      <c r="B164" s="90"/>
      <c r="C164" s="91"/>
      <c r="D164" s="92"/>
      <c r="E164" s="93"/>
      <c r="F164" s="90"/>
      <c r="G164" s="90" t="s">
        <v>106</v>
      </c>
      <c r="H164" s="73"/>
      <c r="I164" s="73"/>
      <c r="J164" s="2"/>
    </row>
    <row r="165" spans="1:10" ht="20.25" customHeight="1">
      <c r="A165" s="90"/>
      <c r="B165" s="90"/>
      <c r="C165" s="91"/>
      <c r="D165" s="92"/>
      <c r="E165" s="93"/>
      <c r="F165" s="90"/>
      <c r="G165" s="90"/>
      <c r="H165" s="73"/>
      <c r="I165" s="73"/>
      <c r="J165" s="2"/>
    </row>
    <row r="166" spans="1:10" ht="13.5" customHeight="1">
      <c r="A166" s="91" t="s">
        <v>113</v>
      </c>
      <c r="B166" s="92"/>
      <c r="C166" s="91"/>
      <c r="D166" s="92"/>
      <c r="E166" s="90"/>
      <c r="F166" s="92"/>
      <c r="G166" s="92"/>
      <c r="H166" s="73"/>
      <c r="I166" s="73"/>
      <c r="J166" s="2"/>
    </row>
    <row r="167" spans="1:10" ht="13.5" customHeight="1">
      <c r="A167" s="91" t="s">
        <v>65</v>
      </c>
      <c r="B167" s="92"/>
      <c r="C167" s="91"/>
      <c r="D167" s="92"/>
      <c r="E167" s="90"/>
      <c r="F167" s="92"/>
      <c r="G167" s="92"/>
      <c r="H167" s="73"/>
      <c r="I167" s="73"/>
      <c r="J167" s="2"/>
    </row>
    <row r="168" spans="1:10" ht="14.25" customHeight="1">
      <c r="A168" s="91"/>
      <c r="B168" s="92"/>
      <c r="C168" s="91"/>
      <c r="D168" s="92"/>
      <c r="E168" s="90"/>
      <c r="F168" s="92"/>
      <c r="G168" s="92"/>
      <c r="H168" s="73"/>
      <c r="I168" s="73"/>
      <c r="J168" s="2"/>
    </row>
    <row r="169" spans="1:10" ht="20.25" customHeight="1">
      <c r="A169" s="91" t="s">
        <v>25</v>
      </c>
      <c r="B169" s="92"/>
      <c r="C169" s="91"/>
      <c r="D169" s="92"/>
      <c r="E169" s="90"/>
      <c r="F169" s="92"/>
      <c r="G169" s="92"/>
      <c r="H169" s="73"/>
      <c r="I169" s="73"/>
      <c r="J169" s="2"/>
    </row>
    <row r="170" spans="1:10" ht="20.25" customHeight="1">
      <c r="A170" s="91" t="s">
        <v>107</v>
      </c>
      <c r="B170" s="92"/>
      <c r="C170" s="91"/>
      <c r="D170" s="92"/>
      <c r="E170" s="90"/>
      <c r="F170" s="92"/>
      <c r="G170" s="92"/>
      <c r="H170" s="73"/>
      <c r="I170" s="73"/>
      <c r="J170" s="2"/>
    </row>
    <row r="171" spans="1:10" ht="12" customHeight="1">
      <c r="A171" s="2"/>
      <c r="B171" s="2"/>
      <c r="C171" s="6"/>
      <c r="D171" s="2"/>
      <c r="E171" s="2"/>
      <c r="F171" s="2"/>
      <c r="G171" s="2"/>
      <c r="H171" s="2"/>
      <c r="I171" s="2"/>
      <c r="J171" s="2"/>
    </row>
    <row r="172" spans="1:10" ht="15">
      <c r="A172" s="2"/>
      <c r="B172" s="2"/>
      <c r="C172" s="6"/>
      <c r="D172" s="2"/>
      <c r="E172" s="2"/>
      <c r="F172" s="2"/>
      <c r="G172" s="2"/>
      <c r="H172" s="2"/>
      <c r="I172" s="2"/>
      <c r="J172" s="2"/>
    </row>
    <row r="173" spans="1:9" ht="15">
      <c r="A173" s="3"/>
      <c r="B173" s="2"/>
      <c r="C173" s="6"/>
      <c r="D173" s="2"/>
      <c r="E173" s="2"/>
      <c r="F173" s="2"/>
      <c r="G173" s="2"/>
      <c r="H173" s="2"/>
      <c r="I173" s="2"/>
    </row>
  </sheetData>
  <sheetProtection/>
  <mergeCells count="51">
    <mergeCell ref="C44:C45"/>
    <mergeCell ref="C46:C47"/>
    <mergeCell ref="C34:C35"/>
    <mergeCell ref="C36:C37"/>
    <mergeCell ref="C38:C39"/>
    <mergeCell ref="C40:C41"/>
    <mergeCell ref="C42:C43"/>
    <mergeCell ref="A132:A133"/>
    <mergeCell ref="C73:C74"/>
    <mergeCell ref="C48:C49"/>
    <mergeCell ref="C51:C52"/>
    <mergeCell ref="C53:C54"/>
    <mergeCell ref="A101:A104"/>
    <mergeCell ref="A110:A113"/>
    <mergeCell ref="C32:C33"/>
    <mergeCell ref="C26:C27"/>
    <mergeCell ref="C23:C25"/>
    <mergeCell ref="C28:C30"/>
    <mergeCell ref="C19:C20"/>
    <mergeCell ref="A23:A24"/>
    <mergeCell ref="A31:A32"/>
    <mergeCell ref="B31:B32"/>
    <mergeCell ref="A28:A29"/>
    <mergeCell ref="B28:B29"/>
    <mergeCell ref="G1:I1"/>
    <mergeCell ref="G3:I3"/>
    <mergeCell ref="G4:I4"/>
    <mergeCell ref="A5:I5"/>
    <mergeCell ref="H2:I2"/>
    <mergeCell ref="C15:C16"/>
    <mergeCell ref="F8:I8"/>
    <mergeCell ref="A6:I6"/>
    <mergeCell ref="A7:I7"/>
    <mergeCell ref="B12:B13"/>
    <mergeCell ref="B8:E8"/>
    <mergeCell ref="B9:C10"/>
    <mergeCell ref="D9:E10"/>
    <mergeCell ref="B23:B24"/>
    <mergeCell ref="D23:D24"/>
    <mergeCell ref="C17:C18"/>
    <mergeCell ref="C21:C22"/>
    <mergeCell ref="F23:F24"/>
    <mergeCell ref="G23:G24"/>
    <mergeCell ref="H23:H24"/>
    <mergeCell ref="I23:I24"/>
    <mergeCell ref="A8:A11"/>
    <mergeCell ref="F9:G10"/>
    <mergeCell ref="H9:I10"/>
    <mergeCell ref="C12:C14"/>
    <mergeCell ref="E23:E24"/>
    <mergeCell ref="A12:A13"/>
  </mergeCells>
  <printOptions/>
  <pageMargins left="0.7874015748031497" right="0.3937007874015748" top="0.3937007874015748" bottom="0.3937007874015748" header="0.31496062992125984" footer="0.31496062992125984"/>
  <pageSetup horizontalDpi="180" verticalDpi="180" orientation="portrait" paperSize="9" scale="48" r:id="rId1"/>
  <rowBreaks count="2" manualBreakCount="2">
    <brk id="107" max="7" man="1"/>
    <brk id="208" max="8" man="1"/>
  </rowBreaks>
</worksheet>
</file>

<file path=xl/worksheets/sheet13.xml><?xml version="1.0" encoding="utf-8"?>
<worksheet xmlns="http://schemas.openxmlformats.org/spreadsheetml/2006/main" xmlns:r="http://schemas.openxmlformats.org/officeDocument/2006/relationships">
  <dimension ref="A1:K160"/>
  <sheetViews>
    <sheetView showGridLines="0" zoomScaleSheetLayoutView="75" zoomScalePageLayoutView="0" workbookViewId="0" topLeftCell="A144">
      <selection activeCell="E152" sqref="E152"/>
    </sheetView>
  </sheetViews>
  <sheetFormatPr defaultColWidth="9.140625" defaultRowHeight="15"/>
  <cols>
    <col min="1" max="1" width="16.7109375" style="1" customWidth="1"/>
    <col min="2" max="2" width="21.7109375" style="1" customWidth="1"/>
    <col min="3" max="3" width="27.7109375" style="5" customWidth="1"/>
    <col min="4" max="4" width="14.57421875" style="1" customWidth="1"/>
    <col min="5" max="5" width="19.28125" style="1" customWidth="1"/>
    <col min="6" max="6" width="16.140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480" t="s">
        <v>75</v>
      </c>
      <c r="H1" s="480"/>
      <c r="I1" s="480"/>
    </row>
    <row r="2" spans="3:9" ht="18" customHeight="1">
      <c r="C2" s="1"/>
      <c r="G2" s="107"/>
      <c r="H2" s="480" t="s">
        <v>74</v>
      </c>
      <c r="I2" s="480"/>
    </row>
    <row r="3" spans="3:9" ht="16.5" customHeight="1">
      <c r="C3" s="1"/>
      <c r="G3" s="480" t="s">
        <v>76</v>
      </c>
      <c r="H3" s="480"/>
      <c r="I3" s="480"/>
    </row>
    <row r="4" spans="3:9" ht="15.75">
      <c r="C4" s="1"/>
      <c r="G4" s="363"/>
      <c r="H4" s="363"/>
      <c r="I4" s="363"/>
    </row>
    <row r="5" spans="1:9" ht="15.75">
      <c r="A5" s="364" t="s">
        <v>26</v>
      </c>
      <c r="B5" s="364"/>
      <c r="C5" s="364"/>
      <c r="D5" s="364"/>
      <c r="E5" s="364"/>
      <c r="F5" s="364"/>
      <c r="G5" s="364"/>
      <c r="H5" s="364"/>
      <c r="I5" s="364"/>
    </row>
    <row r="6" spans="1:9" ht="15.75">
      <c r="A6" s="364" t="s">
        <v>170</v>
      </c>
      <c r="B6" s="364"/>
      <c r="C6" s="364"/>
      <c r="D6" s="364"/>
      <c r="E6" s="364"/>
      <c r="F6" s="364"/>
      <c r="G6" s="364"/>
      <c r="H6" s="364"/>
      <c r="I6" s="364"/>
    </row>
    <row r="7" spans="1:9" s="4" customFormat="1" ht="15.75">
      <c r="A7" s="364" t="s">
        <v>27</v>
      </c>
      <c r="B7" s="364"/>
      <c r="C7" s="364"/>
      <c r="D7" s="364"/>
      <c r="E7" s="364"/>
      <c r="F7" s="364"/>
      <c r="G7" s="364"/>
      <c r="H7" s="364"/>
      <c r="I7" s="364"/>
    </row>
    <row r="8" spans="1:10" s="122" customFormat="1" ht="16.5" customHeight="1">
      <c r="A8" s="420" t="s">
        <v>28</v>
      </c>
      <c r="B8" s="420" t="s">
        <v>0</v>
      </c>
      <c r="C8" s="420"/>
      <c r="D8" s="420"/>
      <c r="E8" s="420"/>
      <c r="F8" s="458" t="s">
        <v>1</v>
      </c>
      <c r="G8" s="459"/>
      <c r="H8" s="459"/>
      <c r="I8" s="460"/>
      <c r="J8" s="121"/>
    </row>
    <row r="9" spans="1:10" s="122" customFormat="1" ht="13.5" customHeight="1">
      <c r="A9" s="420"/>
      <c r="B9" s="420" t="s">
        <v>2</v>
      </c>
      <c r="C9" s="420"/>
      <c r="D9" s="420" t="s">
        <v>23</v>
      </c>
      <c r="E9" s="420"/>
      <c r="F9" s="452" t="s">
        <v>2</v>
      </c>
      <c r="G9" s="461"/>
      <c r="H9" s="452" t="s">
        <v>3</v>
      </c>
      <c r="I9" s="453"/>
      <c r="J9" s="121"/>
    </row>
    <row r="10" spans="1:10" s="122" customFormat="1" ht="18" customHeight="1">
      <c r="A10" s="420"/>
      <c r="B10" s="420"/>
      <c r="C10" s="420"/>
      <c r="D10" s="420"/>
      <c r="E10" s="420"/>
      <c r="F10" s="462"/>
      <c r="G10" s="463"/>
      <c r="H10" s="454"/>
      <c r="I10" s="455"/>
      <c r="J10" s="121"/>
    </row>
    <row r="11" spans="1:10" s="122" customFormat="1" ht="67.5" customHeight="1">
      <c r="A11" s="420"/>
      <c r="B11" s="19" t="s">
        <v>22</v>
      </c>
      <c r="C11" s="20" t="s">
        <v>4</v>
      </c>
      <c r="D11" s="19" t="s">
        <v>22</v>
      </c>
      <c r="E11" s="19" t="s">
        <v>5</v>
      </c>
      <c r="F11" s="19" t="s">
        <v>22</v>
      </c>
      <c r="G11" s="19" t="s">
        <v>4</v>
      </c>
      <c r="H11" s="19" t="s">
        <v>22</v>
      </c>
      <c r="I11" s="19" t="s">
        <v>6</v>
      </c>
      <c r="J11" s="121"/>
    </row>
    <row r="12" spans="1:10" s="122" customFormat="1" ht="34.5" customHeight="1">
      <c r="A12" s="448" t="s">
        <v>24</v>
      </c>
      <c r="B12" s="481">
        <f>16314.9+9550+161.4+1280+204+1250+1969.8</f>
        <v>30730.100000000002</v>
      </c>
      <c r="C12" s="444" t="s">
        <v>178</v>
      </c>
      <c r="D12" s="23"/>
      <c r="E12" s="24"/>
      <c r="F12" s="25"/>
      <c r="G12" s="97"/>
      <c r="H12" s="26"/>
      <c r="I12" s="26"/>
      <c r="J12" s="121"/>
    </row>
    <row r="13" spans="1:10" s="122" customFormat="1" ht="10.5" customHeight="1" hidden="1">
      <c r="A13" s="449"/>
      <c r="B13" s="482"/>
      <c r="C13" s="468"/>
      <c r="D13" s="23"/>
      <c r="E13" s="106"/>
      <c r="F13" s="25"/>
      <c r="G13" s="97"/>
      <c r="H13" s="26"/>
      <c r="I13" s="26"/>
      <c r="J13" s="121"/>
    </row>
    <row r="14" spans="1:11" s="125" customFormat="1" ht="48.75" customHeight="1">
      <c r="A14" s="27" t="s">
        <v>19</v>
      </c>
      <c r="B14" s="28">
        <f>SUM(B12:B13)</f>
        <v>30730.100000000002</v>
      </c>
      <c r="C14" s="445"/>
      <c r="D14" s="29"/>
      <c r="E14" s="30"/>
      <c r="F14" s="31"/>
      <c r="G14" s="98"/>
      <c r="H14" s="27"/>
      <c r="I14" s="27"/>
      <c r="J14" s="123"/>
      <c r="K14" s="124"/>
    </row>
    <row r="15" spans="1:11" s="122" customFormat="1" ht="37.5" customHeight="1">
      <c r="A15" s="21" t="s">
        <v>7</v>
      </c>
      <c r="B15" s="22">
        <f>3392.04+80.4+621.2+273.86+6558+125.6+2537.97+13440</f>
        <v>27029.07</v>
      </c>
      <c r="C15" s="431" t="s">
        <v>157</v>
      </c>
      <c r="D15" s="32"/>
      <c r="E15" s="33"/>
      <c r="F15" s="25"/>
      <c r="G15" s="97"/>
      <c r="H15" s="26"/>
      <c r="I15" s="26"/>
      <c r="J15" s="121"/>
      <c r="K15" s="126"/>
    </row>
    <row r="16" spans="1:11" s="125" customFormat="1" ht="19.5" customHeight="1">
      <c r="A16" s="27" t="s">
        <v>19</v>
      </c>
      <c r="B16" s="28">
        <f>SUM(B15)</f>
        <v>27029.07</v>
      </c>
      <c r="C16" s="433"/>
      <c r="D16" s="34"/>
      <c r="E16" s="30"/>
      <c r="F16" s="31"/>
      <c r="G16" s="98"/>
      <c r="H16" s="27"/>
      <c r="I16" s="27"/>
      <c r="J16" s="123"/>
      <c r="K16" s="124"/>
    </row>
    <row r="17" spans="1:11" s="125" customFormat="1" ht="20.25" customHeight="1">
      <c r="A17" s="35" t="s">
        <v>32</v>
      </c>
      <c r="B17" s="22">
        <f>91632.87+128+236+862.5+137.6+130</f>
        <v>93126.97</v>
      </c>
      <c r="C17" s="431" t="s">
        <v>123</v>
      </c>
      <c r="D17" s="21"/>
      <c r="E17" s="33"/>
      <c r="F17" s="36">
        <f>7907+1450</f>
        <v>9357</v>
      </c>
      <c r="G17" s="97"/>
      <c r="H17" s="27"/>
      <c r="I17" s="27"/>
      <c r="J17" s="123"/>
      <c r="K17" s="124"/>
    </row>
    <row r="18" spans="1:11" s="125" customFormat="1" ht="35.25" customHeight="1">
      <c r="A18" s="27" t="s">
        <v>19</v>
      </c>
      <c r="B18" s="28">
        <f>SUM(B17)</f>
        <v>93126.97</v>
      </c>
      <c r="C18" s="433"/>
      <c r="D18" s="29"/>
      <c r="E18" s="30"/>
      <c r="F18" s="37">
        <f>F17</f>
        <v>9357</v>
      </c>
      <c r="G18" s="98"/>
      <c r="H18" s="27"/>
      <c r="I18" s="27"/>
      <c r="J18" s="123"/>
      <c r="K18" s="124"/>
    </row>
    <row r="19" spans="1:11" s="122" customFormat="1" ht="21" customHeight="1">
      <c r="A19" s="21" t="s">
        <v>55</v>
      </c>
      <c r="B19" s="22">
        <v>10132</v>
      </c>
      <c r="C19" s="431" t="s">
        <v>96</v>
      </c>
      <c r="D19" s="38"/>
      <c r="E19" s="39"/>
      <c r="F19" s="25"/>
      <c r="G19" s="97"/>
      <c r="H19" s="26"/>
      <c r="I19" s="26"/>
      <c r="J19" s="121"/>
      <c r="K19" s="126"/>
    </row>
    <row r="20" spans="1:11" s="125" customFormat="1" ht="17.25" customHeight="1">
      <c r="A20" s="27" t="s">
        <v>20</v>
      </c>
      <c r="B20" s="28">
        <f>B19</f>
        <v>10132</v>
      </c>
      <c r="C20" s="433"/>
      <c r="D20" s="23"/>
      <c r="E20" s="33"/>
      <c r="F20" s="31"/>
      <c r="G20" s="98"/>
      <c r="H20" s="27"/>
      <c r="I20" s="27"/>
      <c r="J20" s="123"/>
      <c r="K20" s="124"/>
    </row>
    <row r="21" spans="1:11" s="122" customFormat="1" ht="20.25" customHeight="1">
      <c r="A21" s="21" t="s">
        <v>8</v>
      </c>
      <c r="B21" s="22">
        <f>23945+3171.5</f>
        <v>27116.5</v>
      </c>
      <c r="C21" s="431" t="s">
        <v>116</v>
      </c>
      <c r="D21" s="38"/>
      <c r="E21" s="39"/>
      <c r="F21" s="25"/>
      <c r="G21" s="97"/>
      <c r="H21" s="41"/>
      <c r="I21" s="97"/>
      <c r="J21" s="121"/>
      <c r="K21" s="126"/>
    </row>
    <row r="22" spans="1:11" s="125" customFormat="1" ht="36" customHeight="1">
      <c r="A22" s="27" t="s">
        <v>20</v>
      </c>
      <c r="B22" s="28">
        <f>B21</f>
        <v>27116.5</v>
      </c>
      <c r="C22" s="433"/>
      <c r="D22" s="109"/>
      <c r="E22" s="112"/>
      <c r="F22" s="113"/>
      <c r="G22" s="110"/>
      <c r="H22" s="114">
        <f>H21</f>
        <v>0</v>
      </c>
      <c r="I22" s="115"/>
      <c r="J22" s="123"/>
      <c r="K22" s="124"/>
    </row>
    <row r="23" spans="1:11" s="125" customFormat="1" ht="20.25" customHeight="1">
      <c r="A23" s="448" t="s">
        <v>9</v>
      </c>
      <c r="B23" s="450">
        <f>108539+2800+5200+21823+13000</f>
        <v>151362</v>
      </c>
      <c r="C23" s="431" t="s">
        <v>133</v>
      </c>
      <c r="D23" s="428"/>
      <c r="E23" s="429"/>
      <c r="F23" s="430"/>
      <c r="G23" s="427"/>
      <c r="H23" s="426"/>
      <c r="I23" s="426"/>
      <c r="J23" s="123"/>
      <c r="K23" s="124"/>
    </row>
    <row r="24" spans="1:11" s="125" customFormat="1" ht="8.25" customHeight="1">
      <c r="A24" s="449"/>
      <c r="B24" s="451"/>
      <c r="C24" s="432"/>
      <c r="D24" s="428"/>
      <c r="E24" s="429"/>
      <c r="F24" s="430"/>
      <c r="G24" s="427"/>
      <c r="H24" s="426"/>
      <c r="I24" s="426"/>
      <c r="J24" s="123"/>
      <c r="K24" s="124"/>
    </row>
    <row r="25" spans="1:11" s="125" customFormat="1" ht="38.25" customHeight="1">
      <c r="A25" s="27" t="s">
        <v>20</v>
      </c>
      <c r="B25" s="28">
        <f>SUM(B23:B24)</f>
        <v>151362</v>
      </c>
      <c r="C25" s="433"/>
      <c r="D25" s="23"/>
      <c r="E25" s="119"/>
      <c r="F25" s="74"/>
      <c r="G25" s="98"/>
      <c r="H25" s="60"/>
      <c r="I25" s="60"/>
      <c r="J25" s="123"/>
      <c r="K25" s="124"/>
    </row>
    <row r="26" spans="1:11" s="122" customFormat="1" ht="18" customHeight="1">
      <c r="A26" s="21" t="s">
        <v>10</v>
      </c>
      <c r="B26" s="22">
        <f>27480.35+64.8+178.55+190.05+1290.3+224.05</f>
        <v>29428.099999999995</v>
      </c>
      <c r="C26" s="431" t="s">
        <v>179</v>
      </c>
      <c r="D26" s="23"/>
      <c r="E26" s="119"/>
      <c r="F26" s="59"/>
      <c r="G26" s="97"/>
      <c r="H26" s="19"/>
      <c r="I26" s="19"/>
      <c r="J26" s="121"/>
      <c r="K26" s="126"/>
    </row>
    <row r="27" spans="1:11" s="125" customFormat="1" ht="24.75" customHeight="1">
      <c r="A27" s="27" t="s">
        <v>20</v>
      </c>
      <c r="B27" s="28">
        <f>SUM(B26)</f>
        <v>29428.099999999995</v>
      </c>
      <c r="C27" s="433"/>
      <c r="D27" s="23"/>
      <c r="E27" s="119"/>
      <c r="F27" s="57"/>
      <c r="G27" s="98"/>
      <c r="H27" s="60"/>
      <c r="I27" s="60"/>
      <c r="J27" s="123"/>
      <c r="K27" s="124"/>
    </row>
    <row r="28" spans="1:10" s="122" customFormat="1" ht="31.5" customHeight="1">
      <c r="A28" s="448" t="s">
        <v>11</v>
      </c>
      <c r="B28" s="450">
        <f>68894.29+24116.8+10900+286.9+12650+458.9</f>
        <v>117306.88999999998</v>
      </c>
      <c r="C28" s="444" t="s">
        <v>124</v>
      </c>
      <c r="D28" s="23"/>
      <c r="E28" s="119"/>
      <c r="F28" s="75"/>
      <c r="G28" s="97"/>
      <c r="H28" s="19"/>
      <c r="I28" s="19"/>
      <c r="J28" s="121"/>
    </row>
    <row r="29" spans="1:10" s="122" customFormat="1" ht="0.75" customHeight="1" hidden="1">
      <c r="A29" s="449"/>
      <c r="B29" s="451"/>
      <c r="C29" s="468"/>
      <c r="D29" s="23"/>
      <c r="E29" s="119"/>
      <c r="F29" s="75"/>
      <c r="G29" s="97"/>
      <c r="H29" s="19"/>
      <c r="I29" s="19"/>
      <c r="J29" s="121"/>
    </row>
    <row r="30" spans="1:10" s="125" customFormat="1" ht="22.5" customHeight="1">
      <c r="A30" s="27" t="s">
        <v>20</v>
      </c>
      <c r="B30" s="28">
        <f>SUM(B28:B29)</f>
        <v>117306.88999999998</v>
      </c>
      <c r="C30" s="445"/>
      <c r="D30" s="19"/>
      <c r="E30" s="43"/>
      <c r="F30" s="74"/>
      <c r="G30" s="98"/>
      <c r="H30" s="60"/>
      <c r="I30" s="60"/>
      <c r="J30" s="123"/>
    </row>
    <row r="31" spans="1:10" s="122" customFormat="1" ht="11.25" customHeight="1" hidden="1">
      <c r="A31" s="448" t="s">
        <v>49</v>
      </c>
      <c r="B31" s="450">
        <f>25404.2+7867+7269+1469.7+3420+4047</f>
        <v>49476.899999999994</v>
      </c>
      <c r="C31" s="40"/>
      <c r="D31" s="23"/>
      <c r="E31" s="119"/>
      <c r="F31" s="75"/>
      <c r="G31" s="97"/>
      <c r="H31" s="19"/>
      <c r="I31" s="19"/>
      <c r="J31" s="121"/>
    </row>
    <row r="32" spans="1:10" s="122" customFormat="1" ht="19.5" customHeight="1">
      <c r="A32" s="449"/>
      <c r="B32" s="451"/>
      <c r="C32" s="431" t="s">
        <v>158</v>
      </c>
      <c r="D32" s="23"/>
      <c r="E32" s="119"/>
      <c r="F32" s="75"/>
      <c r="G32" s="97"/>
      <c r="H32" s="19"/>
      <c r="I32" s="19"/>
      <c r="J32" s="121"/>
    </row>
    <row r="33" spans="1:10" s="125" customFormat="1" ht="17.25" customHeight="1">
      <c r="A33" s="27" t="s">
        <v>20</v>
      </c>
      <c r="B33" s="28">
        <v>49476.9</v>
      </c>
      <c r="C33" s="433"/>
      <c r="D33" s="116"/>
      <c r="E33" s="117"/>
      <c r="F33" s="118"/>
      <c r="G33" s="111"/>
      <c r="H33" s="85"/>
      <c r="I33" s="85"/>
      <c r="J33" s="123"/>
    </row>
    <row r="34" spans="1:10" s="122" customFormat="1" ht="21.75" customHeight="1">
      <c r="A34" s="21" t="s">
        <v>12</v>
      </c>
      <c r="B34" s="22">
        <f>26465+120+120+670+258+22482+10016</f>
        <v>60131</v>
      </c>
      <c r="C34" s="431" t="s">
        <v>80</v>
      </c>
      <c r="D34" s="19"/>
      <c r="E34" s="43"/>
      <c r="F34" s="76"/>
      <c r="G34" s="97"/>
      <c r="H34" s="19"/>
      <c r="I34" s="19"/>
      <c r="J34" s="121"/>
    </row>
    <row r="35" spans="1:10" s="125" customFormat="1" ht="16.5" customHeight="1">
      <c r="A35" s="27" t="s">
        <v>20</v>
      </c>
      <c r="B35" s="28">
        <f>SUM(B34)</f>
        <v>60131</v>
      </c>
      <c r="C35" s="433"/>
      <c r="D35" s="44"/>
      <c r="E35" s="45"/>
      <c r="F35" s="77"/>
      <c r="G35" s="98"/>
      <c r="H35" s="60"/>
      <c r="I35" s="60"/>
      <c r="J35" s="123"/>
    </row>
    <row r="36" spans="1:10" s="122" customFormat="1" ht="18" customHeight="1">
      <c r="A36" s="21" t="s">
        <v>21</v>
      </c>
      <c r="B36" s="22">
        <f>18720+50+972+680+6570+246</f>
        <v>27238</v>
      </c>
      <c r="C36" s="431" t="s">
        <v>180</v>
      </c>
      <c r="D36" s="44"/>
      <c r="E36" s="43"/>
      <c r="F36" s="76"/>
      <c r="G36" s="97"/>
      <c r="H36" s="19"/>
      <c r="I36" s="19"/>
      <c r="J36" s="121"/>
    </row>
    <row r="37" spans="1:10" s="125" customFormat="1" ht="16.5" customHeight="1">
      <c r="A37" s="27" t="s">
        <v>20</v>
      </c>
      <c r="B37" s="28">
        <f>SUM(B36:B36)</f>
        <v>27238</v>
      </c>
      <c r="C37" s="433"/>
      <c r="D37" s="19"/>
      <c r="E37" s="43"/>
      <c r="F37" s="77"/>
      <c r="G37" s="98"/>
      <c r="H37" s="60"/>
      <c r="I37" s="60"/>
      <c r="J37" s="123"/>
    </row>
    <row r="38" spans="1:10" s="122" customFormat="1" ht="22.5" customHeight="1">
      <c r="A38" s="21" t="s">
        <v>13</v>
      </c>
      <c r="B38" s="22">
        <f>16983.2+260+2440+953.2+7960+440+440+1540+428</f>
        <v>31444.4</v>
      </c>
      <c r="C38" s="431" t="s">
        <v>142</v>
      </c>
      <c r="D38" s="44"/>
      <c r="E38" s="42"/>
      <c r="F38" s="43"/>
      <c r="G38" s="97"/>
      <c r="H38" s="19"/>
      <c r="I38" s="19"/>
      <c r="J38" s="121"/>
    </row>
    <row r="39" spans="1:10" s="125" customFormat="1" ht="25.5" customHeight="1">
      <c r="A39" s="27" t="s">
        <v>20</v>
      </c>
      <c r="B39" s="28">
        <f>SUM(B38)</f>
        <v>31444.4</v>
      </c>
      <c r="C39" s="433"/>
      <c r="D39" s="44"/>
      <c r="E39" s="42"/>
      <c r="F39" s="74"/>
      <c r="G39" s="98"/>
      <c r="H39" s="60"/>
      <c r="I39" s="60"/>
      <c r="J39" s="123"/>
    </row>
    <row r="40" spans="1:10" s="122" customFormat="1" ht="21" customHeight="1">
      <c r="A40" s="21" t="s">
        <v>14</v>
      </c>
      <c r="B40" s="22">
        <f>8120.7+711.9+350+17005</f>
        <v>26187.6</v>
      </c>
      <c r="C40" s="431" t="s">
        <v>143</v>
      </c>
      <c r="D40" s="44"/>
      <c r="E40" s="42"/>
      <c r="F40" s="43"/>
      <c r="G40" s="97"/>
      <c r="H40" s="19"/>
      <c r="I40" s="19"/>
      <c r="J40" s="121"/>
    </row>
    <row r="41" spans="1:10" s="125" customFormat="1" ht="17.25" customHeight="1">
      <c r="A41" s="27" t="s">
        <v>20</v>
      </c>
      <c r="B41" s="28">
        <f>SUM(B40:B40)</f>
        <v>26187.6</v>
      </c>
      <c r="C41" s="433"/>
      <c r="D41" s="44"/>
      <c r="E41" s="42"/>
      <c r="F41" s="74">
        <f>F40</f>
        <v>0</v>
      </c>
      <c r="G41" s="98"/>
      <c r="H41" s="60"/>
      <c r="I41" s="60"/>
      <c r="J41" s="123"/>
    </row>
    <row r="42" spans="1:10" s="122" customFormat="1" ht="19.5" customHeight="1">
      <c r="A42" s="21" t="s">
        <v>15</v>
      </c>
      <c r="B42" s="22">
        <f>8785.5+493+562+702+13380+19340+14600+680</f>
        <v>58542.5</v>
      </c>
      <c r="C42" s="431" t="s">
        <v>183</v>
      </c>
      <c r="D42" s="44"/>
      <c r="E42" s="46"/>
      <c r="F42" s="43"/>
      <c r="G42" s="97"/>
      <c r="H42" s="19"/>
      <c r="I42" s="19"/>
      <c r="J42" s="121"/>
    </row>
    <row r="43" spans="1:10" s="125" customFormat="1" ht="16.5" customHeight="1">
      <c r="A43" s="27" t="s">
        <v>20</v>
      </c>
      <c r="B43" s="28">
        <f>SUM(B42:B42)</f>
        <v>58542.5</v>
      </c>
      <c r="C43" s="433"/>
      <c r="D43" s="44"/>
      <c r="E43" s="46"/>
      <c r="F43" s="74"/>
      <c r="G43" s="98"/>
      <c r="H43" s="60"/>
      <c r="I43" s="60"/>
      <c r="J43" s="123"/>
    </row>
    <row r="44" spans="1:10" s="122" customFormat="1" ht="21.75" customHeight="1">
      <c r="A44" s="21" t="s">
        <v>16</v>
      </c>
      <c r="B44" s="22">
        <f>25196.58+1427+7200+507.5+4929.17+3110+5625.66+283.5+1090+180+840</f>
        <v>50389.41</v>
      </c>
      <c r="C44" s="431" t="s">
        <v>181</v>
      </c>
      <c r="D44" s="44"/>
      <c r="E44" s="46"/>
      <c r="F44" s="43"/>
      <c r="G44" s="97"/>
      <c r="H44" s="19"/>
      <c r="I44" s="19"/>
      <c r="J44" s="121"/>
    </row>
    <row r="45" spans="1:10" s="125" customFormat="1" ht="16.5" customHeight="1">
      <c r="A45" s="27" t="s">
        <v>20</v>
      </c>
      <c r="B45" s="28">
        <f>SUM(B44:B44)</f>
        <v>50389.41</v>
      </c>
      <c r="C45" s="433"/>
      <c r="D45" s="44"/>
      <c r="E45" s="46"/>
      <c r="F45" s="74">
        <f>F44</f>
        <v>0</v>
      </c>
      <c r="G45" s="98"/>
      <c r="H45" s="60"/>
      <c r="I45" s="60"/>
      <c r="J45" s="123"/>
    </row>
    <row r="46" spans="1:10" s="122" customFormat="1" ht="18.75" customHeight="1">
      <c r="A46" s="21" t="s">
        <v>17</v>
      </c>
      <c r="B46" s="47">
        <f>13350.15+206.5+30.45+812.6+3640+7610+809.75+4009+1812+2191</f>
        <v>34471.45</v>
      </c>
      <c r="C46" s="431" t="s">
        <v>182</v>
      </c>
      <c r="D46" s="19"/>
      <c r="E46" s="46"/>
      <c r="F46" s="43"/>
      <c r="G46" s="99"/>
      <c r="H46" s="19"/>
      <c r="I46" s="19"/>
      <c r="J46" s="121"/>
    </row>
    <row r="47" spans="1:10" s="125" customFormat="1" ht="17.25" customHeight="1">
      <c r="A47" s="27" t="s">
        <v>20</v>
      </c>
      <c r="B47" s="48">
        <f>SUM(B46:B46)</f>
        <v>34471.45</v>
      </c>
      <c r="C47" s="433"/>
      <c r="D47" s="44"/>
      <c r="E47" s="42"/>
      <c r="F47" s="74"/>
      <c r="G47" s="98"/>
      <c r="H47" s="60"/>
      <c r="I47" s="60"/>
      <c r="J47" s="123"/>
    </row>
    <row r="48" spans="1:10" s="122" customFormat="1" ht="18.75" customHeight="1">
      <c r="A48" s="49" t="s">
        <v>18</v>
      </c>
      <c r="B48" s="22">
        <f>7132+268.5+280+1400+325+321+5105+7500+6000</f>
        <v>28331.5</v>
      </c>
      <c r="C48" s="431" t="s">
        <v>184</v>
      </c>
      <c r="D48" s="44"/>
      <c r="E48" s="42"/>
      <c r="F48" s="43"/>
      <c r="G48" s="97"/>
      <c r="H48" s="19"/>
      <c r="I48" s="19"/>
      <c r="J48" s="121"/>
    </row>
    <row r="49" spans="1:10" s="122" customFormat="1" ht="33.75" customHeight="1" thickBot="1">
      <c r="A49" s="27" t="s">
        <v>20</v>
      </c>
      <c r="B49" s="28">
        <f>SUM(B48:B48)</f>
        <v>28331.5</v>
      </c>
      <c r="C49" s="433"/>
      <c r="D49" s="44"/>
      <c r="E49" s="43"/>
      <c r="F49" s="74">
        <f>F48</f>
        <v>0</v>
      </c>
      <c r="G49" s="97"/>
      <c r="H49" s="19"/>
      <c r="I49" s="19"/>
      <c r="J49" s="121"/>
    </row>
    <row r="50" spans="1:10" s="128" customFormat="1" ht="36.75" customHeight="1" thickBot="1">
      <c r="A50" s="52" t="s">
        <v>68</v>
      </c>
      <c r="B50" s="53">
        <f>SUM(B14+B16+B18+B20+B22+B25+B27+B30+B33+B35+B37+B39+B41+B43+B45+B47+B49)</f>
        <v>852444.39</v>
      </c>
      <c r="C50" s="133"/>
      <c r="D50" s="134"/>
      <c r="E50" s="135"/>
      <c r="F50" s="80">
        <f>F41+F49+F18+F45</f>
        <v>9357</v>
      </c>
      <c r="G50" s="136"/>
      <c r="H50" s="137">
        <f>H22</f>
        <v>0</v>
      </c>
      <c r="I50" s="138"/>
      <c r="J50" s="127"/>
    </row>
    <row r="51" spans="1:10" s="122" customFormat="1" ht="24" customHeight="1">
      <c r="A51" s="26" t="s">
        <v>41</v>
      </c>
      <c r="B51" s="22">
        <f>39002.8+10110</f>
        <v>49112.8</v>
      </c>
      <c r="C51" s="431" t="s">
        <v>82</v>
      </c>
      <c r="D51" s="56"/>
      <c r="E51" s="83"/>
      <c r="F51" s="84"/>
      <c r="G51" s="97"/>
      <c r="H51" s="85"/>
      <c r="I51" s="85"/>
      <c r="J51" s="123"/>
    </row>
    <row r="52" spans="1:10" s="125" customFormat="1" ht="17.25" customHeight="1">
      <c r="A52" s="27" t="s">
        <v>20</v>
      </c>
      <c r="B52" s="28">
        <f>SUM(B51:B51)</f>
        <v>49112.8</v>
      </c>
      <c r="C52" s="433"/>
      <c r="D52" s="57"/>
      <c r="E52" s="58"/>
      <c r="F52" s="74">
        <f>F51</f>
        <v>0</v>
      </c>
      <c r="G52" s="98"/>
      <c r="H52" s="60"/>
      <c r="I52" s="60"/>
      <c r="J52" s="123"/>
    </row>
    <row r="53" spans="1:10" s="122" customFormat="1" ht="24" customHeight="1">
      <c r="A53" s="26" t="s">
        <v>56</v>
      </c>
      <c r="B53" s="22">
        <f>24471.4+320+312+720.8+818.4</f>
        <v>26642.600000000002</v>
      </c>
      <c r="C53" s="431" t="s">
        <v>78</v>
      </c>
      <c r="D53" s="56"/>
      <c r="E53" s="83"/>
      <c r="F53" s="84"/>
      <c r="G53" s="97"/>
      <c r="H53" s="85"/>
      <c r="I53" s="85"/>
      <c r="J53" s="123"/>
    </row>
    <row r="54" spans="1:10" s="125" customFormat="1" ht="17.25" customHeight="1">
      <c r="A54" s="27" t="s">
        <v>20</v>
      </c>
      <c r="B54" s="28">
        <f>SUM(B53:B53)</f>
        <v>26642.600000000002</v>
      </c>
      <c r="C54" s="433"/>
      <c r="D54" s="57"/>
      <c r="E54" s="58"/>
      <c r="F54" s="74">
        <f>F53</f>
        <v>0</v>
      </c>
      <c r="G54" s="98"/>
      <c r="H54" s="60"/>
      <c r="I54" s="60"/>
      <c r="J54" s="123"/>
    </row>
    <row r="55" spans="1:10" s="125" customFormat="1" ht="39" customHeight="1">
      <c r="A55" s="21" t="s">
        <v>39</v>
      </c>
      <c r="B55" s="22"/>
      <c r="C55" s="120" t="s">
        <v>83</v>
      </c>
      <c r="D55" s="59">
        <v>50</v>
      </c>
      <c r="E55" s="59" t="s">
        <v>171</v>
      </c>
      <c r="F55" s="43"/>
      <c r="G55" s="97"/>
      <c r="H55" s="60"/>
      <c r="I55" s="60"/>
      <c r="J55" s="123"/>
    </row>
    <row r="56" spans="1:10" s="125" customFormat="1" ht="57" customHeight="1">
      <c r="A56" s="21" t="s">
        <v>39</v>
      </c>
      <c r="B56" s="22">
        <f>24844+6700+18584</f>
        <v>50128</v>
      </c>
      <c r="C56" s="120" t="s">
        <v>185</v>
      </c>
      <c r="D56" s="59">
        <v>80</v>
      </c>
      <c r="E56" s="59" t="s">
        <v>147</v>
      </c>
      <c r="F56" s="43">
        <v>986</v>
      </c>
      <c r="G56" s="97" t="s">
        <v>110</v>
      </c>
      <c r="H56" s="60"/>
      <c r="I56" s="60"/>
      <c r="J56" s="123"/>
    </row>
    <row r="57" spans="1:10" s="125" customFormat="1" ht="17.25" customHeight="1">
      <c r="A57" s="27" t="s">
        <v>20</v>
      </c>
      <c r="B57" s="28">
        <f>SUM(B56:B56)</f>
        <v>50128</v>
      </c>
      <c r="C57" s="94"/>
      <c r="D57" s="57">
        <f>SUM(D55:D56)</f>
        <v>130</v>
      </c>
      <c r="E57" s="58"/>
      <c r="F57" s="74">
        <f>F56</f>
        <v>986</v>
      </c>
      <c r="G57" s="98"/>
      <c r="H57" s="60"/>
      <c r="I57" s="60"/>
      <c r="J57" s="123"/>
    </row>
    <row r="58" spans="1:10" s="122" customFormat="1" ht="45.75" customHeight="1">
      <c r="A58" s="21" t="s">
        <v>38</v>
      </c>
      <c r="B58" s="22"/>
      <c r="C58" s="40" t="s">
        <v>83</v>
      </c>
      <c r="D58" s="59">
        <v>50</v>
      </c>
      <c r="E58" s="44" t="s">
        <v>171</v>
      </c>
      <c r="F58" s="43"/>
      <c r="G58" s="97"/>
      <c r="H58" s="78"/>
      <c r="I58" s="19"/>
      <c r="J58" s="73"/>
    </row>
    <row r="59" spans="1:10" s="122" customFormat="1" ht="48" customHeight="1">
      <c r="A59" s="21" t="s">
        <v>38</v>
      </c>
      <c r="B59" s="22"/>
      <c r="C59" s="40" t="s">
        <v>164</v>
      </c>
      <c r="D59" s="59">
        <v>6000</v>
      </c>
      <c r="E59" s="44" t="s">
        <v>140</v>
      </c>
      <c r="F59" s="43"/>
      <c r="G59" s="97"/>
      <c r="H59" s="78"/>
      <c r="I59" s="19"/>
      <c r="J59" s="73"/>
    </row>
    <row r="60" spans="1:10" s="122" customFormat="1" ht="57" customHeight="1">
      <c r="A60" s="21" t="s">
        <v>38</v>
      </c>
      <c r="B60" s="22">
        <f>1015+4536+11000+1400+7605+15299+6845+2321+230</f>
        <v>50251</v>
      </c>
      <c r="C60" s="40" t="s">
        <v>163</v>
      </c>
      <c r="D60" s="59">
        <v>30</v>
      </c>
      <c r="E60" s="59" t="s">
        <v>147</v>
      </c>
      <c r="F60" s="43">
        <v>826.5</v>
      </c>
      <c r="G60" s="97" t="s">
        <v>110</v>
      </c>
      <c r="H60" s="78"/>
      <c r="I60" s="19"/>
      <c r="J60" s="73"/>
    </row>
    <row r="61" spans="1:10" s="125" customFormat="1" ht="16.5" customHeight="1">
      <c r="A61" s="27" t="s">
        <v>20</v>
      </c>
      <c r="B61" s="28">
        <f>SUM(B60:B60)</f>
        <v>50251</v>
      </c>
      <c r="C61" s="94"/>
      <c r="D61" s="57">
        <f>SUM(D58:D60)</f>
        <v>6080</v>
      </c>
      <c r="E61" s="86"/>
      <c r="F61" s="74">
        <f>F60</f>
        <v>826.5</v>
      </c>
      <c r="G61" s="102"/>
      <c r="H61" s="86"/>
      <c r="I61" s="60"/>
      <c r="J61" s="129"/>
    </row>
    <row r="62" spans="1:10" s="125" customFormat="1" ht="37.5" customHeight="1">
      <c r="A62" s="21" t="s">
        <v>40</v>
      </c>
      <c r="B62" s="22"/>
      <c r="C62" s="40" t="s">
        <v>83</v>
      </c>
      <c r="D62" s="59">
        <v>50</v>
      </c>
      <c r="E62" s="59" t="s">
        <v>171</v>
      </c>
      <c r="F62" s="43">
        <v>449.5</v>
      </c>
      <c r="G62" s="97" t="s">
        <v>110</v>
      </c>
      <c r="H62" s="86"/>
      <c r="I62" s="60"/>
      <c r="J62" s="129"/>
    </row>
    <row r="63" spans="1:10" s="125" customFormat="1" ht="37.5" customHeight="1">
      <c r="A63" s="21" t="s">
        <v>40</v>
      </c>
      <c r="B63" s="22">
        <f>2528.6+10082.8+200+200</f>
        <v>13011.4</v>
      </c>
      <c r="C63" s="40" t="s">
        <v>162</v>
      </c>
      <c r="D63" s="59">
        <v>110</v>
      </c>
      <c r="E63" s="59" t="s">
        <v>147</v>
      </c>
      <c r="F63" s="43">
        <v>449.5</v>
      </c>
      <c r="G63" s="97" t="s">
        <v>110</v>
      </c>
      <c r="H63" s="86"/>
      <c r="I63" s="60"/>
      <c r="J63" s="129"/>
    </row>
    <row r="64" spans="1:10" s="125" customFormat="1" ht="17.25" customHeight="1">
      <c r="A64" s="27" t="s">
        <v>20</v>
      </c>
      <c r="B64" s="28">
        <f>SUM(B63:B63)</f>
        <v>13011.4</v>
      </c>
      <c r="C64" s="96"/>
      <c r="D64" s="61">
        <f>SUM(D62:D63)</f>
        <v>160</v>
      </c>
      <c r="E64" s="61"/>
      <c r="F64" s="57">
        <f>F63</f>
        <v>449.5</v>
      </c>
      <c r="G64" s="102"/>
      <c r="H64" s="86"/>
      <c r="I64" s="60"/>
      <c r="J64" s="129"/>
    </row>
    <row r="65" spans="1:10" s="125" customFormat="1" ht="45" customHeight="1">
      <c r="A65" s="21" t="s">
        <v>42</v>
      </c>
      <c r="B65" s="22"/>
      <c r="C65" s="40" t="s">
        <v>83</v>
      </c>
      <c r="D65" s="59">
        <v>50</v>
      </c>
      <c r="E65" s="59" t="s">
        <v>171</v>
      </c>
      <c r="F65" s="59"/>
      <c r="G65" s="97"/>
      <c r="H65" s="86"/>
      <c r="I65" s="60"/>
      <c r="J65" s="129"/>
    </row>
    <row r="66" spans="1:10" s="125" customFormat="1" ht="54.75" customHeight="1">
      <c r="A66" s="21" t="s">
        <v>42</v>
      </c>
      <c r="B66" s="22"/>
      <c r="C66" s="40" t="s">
        <v>173</v>
      </c>
      <c r="D66" s="59">
        <v>22489.56</v>
      </c>
      <c r="E66" s="59" t="s">
        <v>174</v>
      </c>
      <c r="F66" s="59"/>
      <c r="G66" s="97"/>
      <c r="H66" s="86"/>
      <c r="I66" s="60"/>
      <c r="J66" s="129"/>
    </row>
    <row r="67" spans="1:10" s="125" customFormat="1" ht="54.75" customHeight="1">
      <c r="A67" s="21" t="s">
        <v>42</v>
      </c>
      <c r="B67" s="22">
        <f>4952+6200+700+452</f>
        <v>12304</v>
      </c>
      <c r="C67" s="40" t="s">
        <v>165</v>
      </c>
      <c r="D67" s="59">
        <v>80</v>
      </c>
      <c r="E67" s="59" t="s">
        <v>147</v>
      </c>
      <c r="F67" s="59">
        <v>507.5</v>
      </c>
      <c r="G67" s="97" t="s">
        <v>110</v>
      </c>
      <c r="H67" s="86"/>
      <c r="I67" s="60"/>
      <c r="J67" s="129"/>
    </row>
    <row r="68" spans="1:10" s="125" customFormat="1" ht="17.25" customHeight="1">
      <c r="A68" s="27" t="s">
        <v>20</v>
      </c>
      <c r="B68" s="28">
        <f>SUM(B67:B67)</f>
        <v>12304</v>
      </c>
      <c r="C68" s="96"/>
      <c r="D68" s="57">
        <f>SUM(D65:D67)</f>
        <v>22619.56</v>
      </c>
      <c r="E68" s="61"/>
      <c r="F68" s="57">
        <f>F67</f>
        <v>507.5</v>
      </c>
      <c r="G68" s="102"/>
      <c r="H68" s="86"/>
      <c r="I68" s="60"/>
      <c r="J68" s="129"/>
    </row>
    <row r="69" spans="1:10" s="122" customFormat="1" ht="39.75" customHeight="1">
      <c r="A69" s="21" t="s">
        <v>29</v>
      </c>
      <c r="B69" s="22"/>
      <c r="C69" s="40" t="s">
        <v>83</v>
      </c>
      <c r="D69" s="59">
        <v>50</v>
      </c>
      <c r="E69" s="59" t="s">
        <v>171</v>
      </c>
      <c r="F69" s="45"/>
      <c r="G69" s="97"/>
      <c r="H69" s="43"/>
      <c r="I69" s="19"/>
      <c r="J69" s="73"/>
    </row>
    <row r="70" spans="1:10" s="122" customFormat="1" ht="52.5" customHeight="1">
      <c r="A70" s="21" t="s">
        <v>29</v>
      </c>
      <c r="B70" s="22">
        <f>64331.7+6876+12640+1721+1298+1711+2073+212+1558</f>
        <v>92420.7</v>
      </c>
      <c r="C70" s="431" t="s">
        <v>118</v>
      </c>
      <c r="D70" s="45">
        <v>30</v>
      </c>
      <c r="E70" s="59" t="s">
        <v>147</v>
      </c>
      <c r="F70" s="45">
        <v>1711</v>
      </c>
      <c r="G70" s="97" t="s">
        <v>110</v>
      </c>
      <c r="H70" s="43"/>
      <c r="I70" s="19"/>
      <c r="J70" s="73"/>
    </row>
    <row r="71" spans="1:10" s="125" customFormat="1" ht="33.75" customHeight="1">
      <c r="A71" s="27" t="s">
        <v>20</v>
      </c>
      <c r="B71" s="28">
        <f>SUM(B70:B70)</f>
        <v>92420.7</v>
      </c>
      <c r="C71" s="433"/>
      <c r="D71" s="57">
        <f>SUM(D69:D70)</f>
        <v>80</v>
      </c>
      <c r="E71" s="61"/>
      <c r="F71" s="57">
        <f>F70</f>
        <v>1711</v>
      </c>
      <c r="G71" s="102"/>
      <c r="H71" s="74">
        <f>H70</f>
        <v>0</v>
      </c>
      <c r="I71" s="60"/>
      <c r="J71" s="129"/>
    </row>
    <row r="72" spans="1:10" s="125" customFormat="1" ht="174.75" customHeight="1" hidden="1">
      <c r="A72" s="27" t="s">
        <v>20</v>
      </c>
      <c r="B72" s="28">
        <f>SUM(B70:B71)</f>
        <v>184841.4</v>
      </c>
      <c r="C72" s="94"/>
      <c r="D72" s="61"/>
      <c r="E72" s="57"/>
      <c r="F72" s="61"/>
      <c r="G72" s="102"/>
      <c r="H72" s="86"/>
      <c r="I72" s="86"/>
      <c r="J72" s="129"/>
    </row>
    <row r="73" spans="1:10" s="125" customFormat="1" ht="16.5" customHeight="1" hidden="1">
      <c r="A73" s="21" t="s">
        <v>37</v>
      </c>
      <c r="B73" s="22">
        <v>10999</v>
      </c>
      <c r="C73" s="40" t="s">
        <v>52</v>
      </c>
      <c r="D73" s="61"/>
      <c r="E73" s="57"/>
      <c r="F73" s="61"/>
      <c r="G73" s="102"/>
      <c r="H73" s="86"/>
      <c r="I73" s="86"/>
      <c r="J73" s="129"/>
    </row>
    <row r="74" spans="1:10" s="122" customFormat="1" ht="17.25" customHeight="1" hidden="1">
      <c r="A74" s="21" t="s">
        <v>37</v>
      </c>
      <c r="B74" s="22">
        <v>1219</v>
      </c>
      <c r="C74" s="40" t="s">
        <v>43</v>
      </c>
      <c r="D74" s="45"/>
      <c r="E74" s="57"/>
      <c r="F74" s="45"/>
      <c r="G74" s="97"/>
      <c r="H74" s="78"/>
      <c r="I74" s="19"/>
      <c r="J74" s="73"/>
    </row>
    <row r="75" spans="1:10" s="125" customFormat="1" ht="16.5" customHeight="1" hidden="1">
      <c r="A75" s="27" t="s">
        <v>20</v>
      </c>
      <c r="B75" s="28">
        <f>SUM(B73:B74)</f>
        <v>12218</v>
      </c>
      <c r="C75" s="94"/>
      <c r="D75" s="61"/>
      <c r="E75" s="57"/>
      <c r="F75" s="61"/>
      <c r="G75" s="102"/>
      <c r="H75" s="86"/>
      <c r="I75" s="86"/>
      <c r="J75" s="129"/>
    </row>
    <row r="76" spans="1:10" s="125" customFormat="1" ht="16.5" customHeight="1" hidden="1">
      <c r="A76" s="21" t="s">
        <v>30</v>
      </c>
      <c r="B76" s="63">
        <v>3133</v>
      </c>
      <c r="C76" s="40" t="s">
        <v>44</v>
      </c>
      <c r="D76" s="45"/>
      <c r="E76" s="57"/>
      <c r="F76" s="61"/>
      <c r="G76" s="102"/>
      <c r="H76" s="86"/>
      <c r="I76" s="86"/>
      <c r="J76" s="129"/>
    </row>
    <row r="77" spans="1:10" s="125" customFormat="1" ht="18.75" customHeight="1" hidden="1">
      <c r="A77" s="21" t="s">
        <v>30</v>
      </c>
      <c r="B77" s="63">
        <v>120</v>
      </c>
      <c r="C77" s="40" t="s">
        <v>36</v>
      </c>
      <c r="D77" s="45"/>
      <c r="E77" s="57"/>
      <c r="F77" s="61"/>
      <c r="G77" s="102"/>
      <c r="H77" s="86"/>
      <c r="I77" s="86"/>
      <c r="J77" s="129"/>
    </row>
    <row r="78" spans="1:10" s="125" customFormat="1" ht="18.75" customHeight="1" hidden="1">
      <c r="A78" s="21" t="s">
        <v>30</v>
      </c>
      <c r="B78" s="63">
        <v>210</v>
      </c>
      <c r="C78" s="40" t="s">
        <v>36</v>
      </c>
      <c r="D78" s="45"/>
      <c r="E78" s="57"/>
      <c r="F78" s="61"/>
      <c r="G78" s="102"/>
      <c r="H78" s="86"/>
      <c r="I78" s="86"/>
      <c r="J78" s="129"/>
    </row>
    <row r="79" spans="1:10" s="125" customFormat="1" ht="16.5" customHeight="1" hidden="1">
      <c r="A79" s="27" t="s">
        <v>20</v>
      </c>
      <c r="B79" s="64">
        <f>SUM(B76:B78)</f>
        <v>3463</v>
      </c>
      <c r="C79" s="94"/>
      <c r="D79" s="61"/>
      <c r="E79" s="57"/>
      <c r="F79" s="61"/>
      <c r="G79" s="102"/>
      <c r="H79" s="86"/>
      <c r="I79" s="86"/>
      <c r="J79" s="129"/>
    </row>
    <row r="80" spans="1:10" s="125" customFormat="1" ht="17.25" customHeight="1" hidden="1">
      <c r="A80" s="21" t="s">
        <v>31</v>
      </c>
      <c r="B80" s="65">
        <v>60</v>
      </c>
      <c r="C80" s="40" t="s">
        <v>48</v>
      </c>
      <c r="D80" s="65">
        <v>149639.87</v>
      </c>
      <c r="E80" s="62" t="s">
        <v>47</v>
      </c>
      <c r="F80" s="59"/>
      <c r="G80" s="102"/>
      <c r="H80" s="21"/>
      <c r="I80" s="86"/>
      <c r="J80" s="129"/>
    </row>
    <row r="81" spans="1:10" s="125" customFormat="1" ht="17.25" customHeight="1" hidden="1">
      <c r="A81" s="21" t="s">
        <v>31</v>
      </c>
      <c r="B81" s="65">
        <v>3951.33</v>
      </c>
      <c r="C81" s="40" t="s">
        <v>51</v>
      </c>
      <c r="D81" s="65"/>
      <c r="E81" s="62"/>
      <c r="F81" s="59"/>
      <c r="G81" s="72"/>
      <c r="H81" s="21"/>
      <c r="I81" s="86"/>
      <c r="J81" s="129"/>
    </row>
    <row r="82" spans="1:10" s="122" customFormat="1" ht="47.25" customHeight="1">
      <c r="A82" s="21" t="s">
        <v>37</v>
      </c>
      <c r="B82" s="22"/>
      <c r="C82" s="40" t="s">
        <v>83</v>
      </c>
      <c r="D82" s="59">
        <v>50</v>
      </c>
      <c r="E82" s="59" t="s">
        <v>171</v>
      </c>
      <c r="F82" s="45"/>
      <c r="G82" s="97"/>
      <c r="H82" s="78"/>
      <c r="I82" s="19"/>
      <c r="J82" s="73"/>
    </row>
    <row r="83" spans="1:10" s="122" customFormat="1" ht="55.5" customHeight="1">
      <c r="A83" s="21" t="s">
        <v>37</v>
      </c>
      <c r="B83" s="22">
        <f>68973.1+6350+14600+4395+181+688+15260.5+90</f>
        <v>110537.6</v>
      </c>
      <c r="C83" s="40" t="s">
        <v>166</v>
      </c>
      <c r="D83" s="45">
        <v>30</v>
      </c>
      <c r="E83" s="59" t="s">
        <v>147</v>
      </c>
      <c r="F83" s="45">
        <v>1102</v>
      </c>
      <c r="G83" s="97" t="s">
        <v>110</v>
      </c>
      <c r="H83" s="78"/>
      <c r="I83" s="19"/>
      <c r="J83" s="73"/>
    </row>
    <row r="84" spans="1:10" s="125" customFormat="1" ht="17.25" customHeight="1">
      <c r="A84" s="27" t="s">
        <v>20</v>
      </c>
      <c r="B84" s="28">
        <f>SUM(B83:B83)</f>
        <v>110537.6</v>
      </c>
      <c r="C84" s="96"/>
      <c r="D84" s="57">
        <f>SUM(D82:D83)</f>
        <v>80</v>
      </c>
      <c r="E84" s="61"/>
      <c r="F84" s="57">
        <f>F83</f>
        <v>1102</v>
      </c>
      <c r="G84" s="102"/>
      <c r="H84" s="86"/>
      <c r="I84" s="60"/>
      <c r="J84" s="129"/>
    </row>
    <row r="85" spans="1:10" s="122" customFormat="1" ht="52.5" customHeight="1">
      <c r="A85" s="21" t="s">
        <v>30</v>
      </c>
      <c r="B85" s="22"/>
      <c r="C85" s="40" t="s">
        <v>83</v>
      </c>
      <c r="D85" s="59">
        <v>50</v>
      </c>
      <c r="E85" s="59" t="s">
        <v>171</v>
      </c>
      <c r="F85" s="45"/>
      <c r="G85" s="97"/>
      <c r="H85" s="78"/>
      <c r="I85" s="19"/>
      <c r="J85" s="73"/>
    </row>
    <row r="86" spans="1:10" s="122" customFormat="1" ht="52.5" customHeight="1">
      <c r="A86" s="21" t="s">
        <v>30</v>
      </c>
      <c r="B86" s="22">
        <f>25303.96+54310.84+4420+6485+2350+1170</f>
        <v>94039.79999999999</v>
      </c>
      <c r="C86" s="40" t="s">
        <v>175</v>
      </c>
      <c r="D86" s="45">
        <v>80</v>
      </c>
      <c r="E86" s="59" t="s">
        <v>147</v>
      </c>
      <c r="F86" s="45">
        <v>435</v>
      </c>
      <c r="G86" s="97" t="s">
        <v>110</v>
      </c>
      <c r="H86" s="78"/>
      <c r="I86" s="19"/>
      <c r="J86" s="73"/>
    </row>
    <row r="87" spans="1:10" s="125" customFormat="1" ht="17.25" customHeight="1">
      <c r="A87" s="27" t="s">
        <v>20</v>
      </c>
      <c r="B87" s="28">
        <f>SUM(B86:B86)</f>
        <v>94039.79999999999</v>
      </c>
      <c r="C87" s="96"/>
      <c r="D87" s="57">
        <f>SUM(D85:D86)</f>
        <v>130</v>
      </c>
      <c r="E87" s="61"/>
      <c r="F87" s="57">
        <f>F86</f>
        <v>435</v>
      </c>
      <c r="G87" s="102"/>
      <c r="H87" s="86"/>
      <c r="I87" s="60"/>
      <c r="J87" s="129"/>
    </row>
    <row r="88" spans="1:10" s="122" customFormat="1" ht="40.5" customHeight="1">
      <c r="A88" s="21" t="s">
        <v>57</v>
      </c>
      <c r="B88" s="22"/>
      <c r="C88" s="40" t="s">
        <v>83</v>
      </c>
      <c r="D88" s="59">
        <v>50</v>
      </c>
      <c r="E88" s="59" t="s">
        <v>171</v>
      </c>
      <c r="F88" s="45"/>
      <c r="G88" s="97"/>
      <c r="H88" s="78"/>
      <c r="I88" s="19"/>
      <c r="J88" s="73"/>
    </row>
    <row r="89" spans="1:10" s="122" customFormat="1" ht="54.75" customHeight="1">
      <c r="A89" s="21" t="s">
        <v>57</v>
      </c>
      <c r="B89" s="22">
        <f>734+138.97+312</f>
        <v>1184.97</v>
      </c>
      <c r="C89" s="40" t="s">
        <v>98</v>
      </c>
      <c r="D89" s="45">
        <v>30</v>
      </c>
      <c r="E89" s="59" t="s">
        <v>147</v>
      </c>
      <c r="F89" s="45">
        <v>580.5</v>
      </c>
      <c r="G89" s="97" t="s">
        <v>110</v>
      </c>
      <c r="H89" s="78"/>
      <c r="I89" s="19"/>
      <c r="J89" s="73"/>
    </row>
    <row r="90" spans="1:10" s="125" customFormat="1" ht="17.25" customHeight="1">
      <c r="A90" s="27" t="s">
        <v>20</v>
      </c>
      <c r="B90" s="28">
        <f>SUM(B89:B89)</f>
        <v>1184.97</v>
      </c>
      <c r="C90" s="96"/>
      <c r="D90" s="57">
        <f>SUM(D88:D89)</f>
        <v>80</v>
      </c>
      <c r="E90" s="61"/>
      <c r="F90" s="57">
        <f>F89</f>
        <v>580.5</v>
      </c>
      <c r="G90" s="102"/>
      <c r="H90" s="86"/>
      <c r="I90" s="60"/>
      <c r="J90" s="129"/>
    </row>
    <row r="91" spans="1:10" s="122" customFormat="1" ht="53.25" customHeight="1">
      <c r="A91" s="21" t="s">
        <v>31</v>
      </c>
      <c r="B91" s="22">
        <f>48481.32+1116+463.5+4611+3640.2+9894.23+11220.49-471+7308+5465+6844+2330.4+352+7268.67</f>
        <v>108523.81</v>
      </c>
      <c r="C91" s="40" t="s">
        <v>167</v>
      </c>
      <c r="D91" s="45">
        <f>9986+7997</f>
        <v>17983</v>
      </c>
      <c r="E91" s="59" t="s">
        <v>121</v>
      </c>
      <c r="F91" s="45">
        <v>1189</v>
      </c>
      <c r="G91" s="97" t="s">
        <v>110</v>
      </c>
      <c r="H91" s="78"/>
      <c r="I91" s="19"/>
      <c r="J91" s="73"/>
    </row>
    <row r="92" spans="1:10" s="122" customFormat="1" ht="53.25" customHeight="1">
      <c r="A92" s="21" t="s">
        <v>31</v>
      </c>
      <c r="B92" s="22"/>
      <c r="C92" s="40" t="s">
        <v>84</v>
      </c>
      <c r="D92" s="45">
        <v>471</v>
      </c>
      <c r="E92" s="59" t="s">
        <v>153</v>
      </c>
      <c r="F92" s="45"/>
      <c r="G92" s="97"/>
      <c r="H92" s="78"/>
      <c r="I92" s="19"/>
      <c r="J92" s="73"/>
    </row>
    <row r="93" spans="1:10" s="122" customFormat="1" ht="38.25" customHeight="1">
      <c r="A93" s="21" t="s">
        <v>31</v>
      </c>
      <c r="B93" s="22"/>
      <c r="C93" s="40" t="s">
        <v>84</v>
      </c>
      <c r="D93" s="45">
        <v>50</v>
      </c>
      <c r="E93" s="59" t="s">
        <v>171</v>
      </c>
      <c r="F93" s="45"/>
      <c r="G93" s="97"/>
      <c r="H93" s="78"/>
      <c r="I93" s="19"/>
      <c r="J93" s="73"/>
    </row>
    <row r="94" spans="1:10" s="122" customFormat="1" ht="53.25" customHeight="1">
      <c r="A94" s="21" t="s">
        <v>31</v>
      </c>
      <c r="B94" s="22"/>
      <c r="C94" s="40" t="s">
        <v>84</v>
      </c>
      <c r="D94" s="45">
        <v>80</v>
      </c>
      <c r="E94" s="59" t="s">
        <v>147</v>
      </c>
      <c r="F94" s="45"/>
      <c r="G94" s="97"/>
      <c r="H94" s="78"/>
      <c r="I94" s="19"/>
      <c r="J94" s="73"/>
    </row>
    <row r="95" spans="1:10" s="125" customFormat="1" ht="17.25" customHeight="1">
      <c r="A95" s="27" t="s">
        <v>20</v>
      </c>
      <c r="B95" s="28">
        <f>SUM(B91:B94)</f>
        <v>108523.81</v>
      </c>
      <c r="C95" s="96"/>
      <c r="D95" s="61">
        <f>SUM(D91:D94)</f>
        <v>18584</v>
      </c>
      <c r="E95" s="61"/>
      <c r="F95" s="57">
        <f>F94</f>
        <v>0</v>
      </c>
      <c r="G95" s="102"/>
      <c r="H95" s="86"/>
      <c r="I95" s="60"/>
      <c r="J95" s="129"/>
    </row>
    <row r="96" spans="1:10" s="125" customFormat="1" ht="81.75" customHeight="1">
      <c r="A96" s="448" t="s">
        <v>58</v>
      </c>
      <c r="B96" s="28"/>
      <c r="C96" s="40" t="s">
        <v>84</v>
      </c>
      <c r="D96" s="45">
        <v>50</v>
      </c>
      <c r="E96" s="59" t="s">
        <v>171</v>
      </c>
      <c r="F96" s="59">
        <v>754</v>
      </c>
      <c r="G96" s="97" t="s">
        <v>110</v>
      </c>
      <c r="H96" s="86"/>
      <c r="I96" s="60"/>
      <c r="J96" s="129"/>
    </row>
    <row r="97" spans="1:10" s="125" customFormat="1" ht="100.5" customHeight="1">
      <c r="A97" s="449"/>
      <c r="B97" s="65"/>
      <c r="C97" s="40" t="s">
        <v>84</v>
      </c>
      <c r="D97" s="65">
        <v>30</v>
      </c>
      <c r="E97" s="59" t="s">
        <v>147</v>
      </c>
      <c r="F97" s="59">
        <v>7040</v>
      </c>
      <c r="G97" s="97" t="s">
        <v>72</v>
      </c>
      <c r="H97" s="21"/>
      <c r="I97" s="86"/>
      <c r="J97" s="129"/>
    </row>
    <row r="98" spans="1:10" s="125" customFormat="1" ht="16.5" customHeight="1">
      <c r="A98" s="27" t="s">
        <v>20</v>
      </c>
      <c r="B98" s="66">
        <f>B97</f>
        <v>0</v>
      </c>
      <c r="C98" s="94"/>
      <c r="D98" s="66">
        <f>SUM(D96:D97)</f>
        <v>80</v>
      </c>
      <c r="E98" s="57"/>
      <c r="F98" s="61">
        <f>F97+F96</f>
        <v>7794</v>
      </c>
      <c r="G98" s="102"/>
      <c r="H98" s="86"/>
      <c r="I98" s="86"/>
      <c r="J98" s="129"/>
    </row>
    <row r="99" spans="1:10" s="125" customFormat="1" ht="38.25" customHeight="1">
      <c r="A99" s="21" t="s">
        <v>33</v>
      </c>
      <c r="B99" s="65">
        <v>13730</v>
      </c>
      <c r="C99" s="40" t="s">
        <v>91</v>
      </c>
      <c r="D99" s="144">
        <v>206699.6</v>
      </c>
      <c r="E99" s="44" t="s">
        <v>100</v>
      </c>
      <c r="F99" s="59">
        <v>232</v>
      </c>
      <c r="G99" s="97" t="s">
        <v>110</v>
      </c>
      <c r="H99" s="21"/>
      <c r="I99" s="86"/>
      <c r="J99" s="129"/>
    </row>
    <row r="100" spans="1:10" s="125" customFormat="1" ht="38.25" customHeight="1">
      <c r="A100" s="21" t="s">
        <v>33</v>
      </c>
      <c r="B100" s="65"/>
      <c r="C100" s="40" t="s">
        <v>84</v>
      </c>
      <c r="D100" s="143">
        <v>30</v>
      </c>
      <c r="E100" s="59" t="s">
        <v>147</v>
      </c>
      <c r="F100" s="59"/>
      <c r="G100" s="97"/>
      <c r="H100" s="21"/>
      <c r="I100" s="86"/>
      <c r="J100" s="129"/>
    </row>
    <row r="101" spans="1:10" s="125" customFormat="1" ht="38.25" customHeight="1">
      <c r="A101" s="21" t="s">
        <v>33</v>
      </c>
      <c r="B101" s="65"/>
      <c r="C101" s="40" t="s">
        <v>84</v>
      </c>
      <c r="D101" s="45">
        <v>50</v>
      </c>
      <c r="E101" s="59" t="s">
        <v>171</v>
      </c>
      <c r="F101" s="59"/>
      <c r="G101" s="97"/>
      <c r="H101" s="21"/>
      <c r="I101" s="86"/>
      <c r="J101" s="129"/>
    </row>
    <row r="102" spans="1:10" s="125" customFormat="1" ht="24" customHeight="1">
      <c r="A102" s="27" t="s">
        <v>20</v>
      </c>
      <c r="B102" s="66">
        <f>SUM(B99)</f>
        <v>13730</v>
      </c>
      <c r="C102" s="94"/>
      <c r="D102" s="141">
        <f>SUM(D99:D101)</f>
        <v>206779.6</v>
      </c>
      <c r="E102" s="57"/>
      <c r="F102" s="61">
        <f>F101</f>
        <v>0</v>
      </c>
      <c r="G102" s="102"/>
      <c r="H102" s="86"/>
      <c r="I102" s="86"/>
      <c r="J102" s="129"/>
    </row>
    <row r="103" spans="1:10" s="125" customFormat="1" ht="52.5" customHeight="1">
      <c r="A103" s="448" t="s">
        <v>45</v>
      </c>
      <c r="B103" s="66"/>
      <c r="C103" s="40" t="s">
        <v>84</v>
      </c>
      <c r="D103" s="45">
        <v>50</v>
      </c>
      <c r="E103" s="59" t="s">
        <v>171</v>
      </c>
      <c r="F103" s="45">
        <v>1116.5</v>
      </c>
      <c r="G103" s="97" t="s">
        <v>110</v>
      </c>
      <c r="H103" s="86"/>
      <c r="I103" s="86"/>
      <c r="J103" s="129"/>
    </row>
    <row r="104" spans="1:10" s="125" customFormat="1" ht="98.25" customHeight="1">
      <c r="A104" s="449"/>
      <c r="B104" s="63">
        <v>450</v>
      </c>
      <c r="C104" s="40" t="s">
        <v>83</v>
      </c>
      <c r="D104" s="63">
        <v>80</v>
      </c>
      <c r="E104" s="59" t="s">
        <v>147</v>
      </c>
      <c r="F104" s="59">
        <f>15920+1080+2616.7</f>
        <v>19616.7</v>
      </c>
      <c r="G104" s="97" t="s">
        <v>73</v>
      </c>
      <c r="H104" s="86"/>
      <c r="I104" s="86"/>
      <c r="J104" s="129"/>
    </row>
    <row r="105" spans="1:10" s="125" customFormat="1" ht="16.5" customHeight="1">
      <c r="A105" s="27" t="s">
        <v>20</v>
      </c>
      <c r="B105" s="64">
        <f>B104</f>
        <v>450</v>
      </c>
      <c r="C105" s="94"/>
      <c r="D105" s="61">
        <f>SUM(D103:D104)</f>
        <v>130</v>
      </c>
      <c r="E105" s="57"/>
      <c r="F105" s="61">
        <f>F104+F103</f>
        <v>20733.2</v>
      </c>
      <c r="G105" s="102"/>
      <c r="H105" s="86"/>
      <c r="I105" s="86"/>
      <c r="J105" s="129"/>
    </row>
    <row r="106" spans="1:10" s="125" customFormat="1" ht="51" customHeight="1">
      <c r="A106" s="21" t="s">
        <v>59</v>
      </c>
      <c r="B106" s="63">
        <f>6220+50+12150+320</f>
        <v>18740</v>
      </c>
      <c r="C106" s="40" t="s">
        <v>168</v>
      </c>
      <c r="D106" s="63">
        <v>80</v>
      </c>
      <c r="E106" s="59" t="s">
        <v>147</v>
      </c>
      <c r="F106" s="59">
        <v>1160</v>
      </c>
      <c r="G106" s="97" t="s">
        <v>110</v>
      </c>
      <c r="H106" s="86"/>
      <c r="I106" s="86"/>
      <c r="J106" s="129"/>
    </row>
    <row r="107" spans="1:10" s="125" customFormat="1" ht="51" customHeight="1">
      <c r="A107" s="21" t="s">
        <v>59</v>
      </c>
      <c r="B107" s="63"/>
      <c r="C107" s="40" t="s">
        <v>84</v>
      </c>
      <c r="D107" s="45">
        <v>50</v>
      </c>
      <c r="E107" s="59" t="s">
        <v>171</v>
      </c>
      <c r="F107" s="59"/>
      <c r="G107" s="97"/>
      <c r="H107" s="86"/>
      <c r="I107" s="86"/>
      <c r="J107" s="129"/>
    </row>
    <row r="108" spans="1:10" s="125" customFormat="1" ht="16.5" customHeight="1">
      <c r="A108" s="27" t="s">
        <v>20</v>
      </c>
      <c r="B108" s="64">
        <f>SUM(B106:B107)</f>
        <v>18740</v>
      </c>
      <c r="C108" s="94"/>
      <c r="D108" s="61">
        <f>SUM(D106:D107)</f>
        <v>130</v>
      </c>
      <c r="E108" s="57"/>
      <c r="F108" s="61">
        <f>F107</f>
        <v>0</v>
      </c>
      <c r="G108" s="102"/>
      <c r="H108" s="86"/>
      <c r="I108" s="86"/>
      <c r="J108" s="129"/>
    </row>
    <row r="109" spans="1:10" s="125" customFormat="1" ht="53.25" customHeight="1">
      <c r="A109" s="21" t="s">
        <v>50</v>
      </c>
      <c r="B109" s="63"/>
      <c r="C109" s="40" t="s">
        <v>83</v>
      </c>
      <c r="D109" s="63">
        <v>50</v>
      </c>
      <c r="E109" s="59" t="s">
        <v>171</v>
      </c>
      <c r="F109" s="59">
        <v>43.5</v>
      </c>
      <c r="G109" s="97" t="s">
        <v>110</v>
      </c>
      <c r="H109" s="86"/>
      <c r="I109" s="86"/>
      <c r="J109" s="129"/>
    </row>
    <row r="110" spans="1:10" s="125" customFormat="1" ht="53.25" customHeight="1">
      <c r="A110" s="21" t="s">
        <v>50</v>
      </c>
      <c r="B110" s="63">
        <v>3750</v>
      </c>
      <c r="C110" s="40" t="s">
        <v>172</v>
      </c>
      <c r="D110" s="63">
        <v>30</v>
      </c>
      <c r="E110" s="59" t="s">
        <v>147</v>
      </c>
      <c r="F110" s="59">
        <v>43.5</v>
      </c>
      <c r="G110" s="97" t="s">
        <v>110</v>
      </c>
      <c r="H110" s="86"/>
      <c r="I110" s="86"/>
      <c r="J110" s="129"/>
    </row>
    <row r="111" spans="1:10" s="125" customFormat="1" ht="16.5" customHeight="1">
      <c r="A111" s="27" t="s">
        <v>20</v>
      </c>
      <c r="B111" s="64">
        <f>SUM(B110)</f>
        <v>3750</v>
      </c>
      <c r="C111" s="94"/>
      <c r="D111" s="61">
        <f>SUM(D109:D110)</f>
        <v>80</v>
      </c>
      <c r="E111" s="57"/>
      <c r="F111" s="61">
        <f>F110</f>
        <v>43.5</v>
      </c>
      <c r="G111" s="102"/>
      <c r="H111" s="86"/>
      <c r="I111" s="86"/>
      <c r="J111" s="129"/>
    </row>
    <row r="112" spans="1:10" s="125" customFormat="1" ht="53.25" customHeight="1">
      <c r="A112" s="21" t="s">
        <v>60</v>
      </c>
      <c r="B112" s="63"/>
      <c r="C112" s="40" t="s">
        <v>84</v>
      </c>
      <c r="D112" s="63">
        <v>30</v>
      </c>
      <c r="E112" s="59" t="s">
        <v>147</v>
      </c>
      <c r="F112" s="59"/>
      <c r="G112" s="97"/>
      <c r="H112" s="86"/>
      <c r="I112" s="86"/>
      <c r="J112" s="129"/>
    </row>
    <row r="113" spans="1:10" s="125" customFormat="1" ht="43.5" customHeight="1">
      <c r="A113" s="21" t="s">
        <v>60</v>
      </c>
      <c r="B113" s="63"/>
      <c r="C113" s="40" t="s">
        <v>84</v>
      </c>
      <c r="D113" s="63">
        <v>50</v>
      </c>
      <c r="E113" s="59" t="s">
        <v>171</v>
      </c>
      <c r="F113" s="59"/>
      <c r="G113" s="97"/>
      <c r="H113" s="86"/>
      <c r="I113" s="86"/>
      <c r="J113" s="129"/>
    </row>
    <row r="114" spans="1:10" s="125" customFormat="1" ht="53.25" customHeight="1">
      <c r="A114" s="21" t="s">
        <v>60</v>
      </c>
      <c r="B114" s="63">
        <f>1910+2376+1010+8529+880+1271</f>
        <v>15976</v>
      </c>
      <c r="C114" s="40" t="s">
        <v>169</v>
      </c>
      <c r="D114" s="63">
        <v>15998</v>
      </c>
      <c r="E114" s="44" t="s">
        <v>140</v>
      </c>
      <c r="F114" s="59">
        <v>609</v>
      </c>
      <c r="G114" s="97" t="s">
        <v>110</v>
      </c>
      <c r="H114" s="86"/>
      <c r="I114" s="86"/>
      <c r="J114" s="129"/>
    </row>
    <row r="115" spans="1:10" s="125" customFormat="1" ht="16.5" customHeight="1">
      <c r="A115" s="27" t="s">
        <v>20</v>
      </c>
      <c r="B115" s="64">
        <f>SUM(B114)</f>
        <v>15976</v>
      </c>
      <c r="C115" s="94"/>
      <c r="D115" s="61">
        <f>SUM(D112:D114)</f>
        <v>16078</v>
      </c>
      <c r="E115" s="57"/>
      <c r="F115" s="61">
        <f>F114</f>
        <v>609</v>
      </c>
      <c r="G115" s="102"/>
      <c r="H115" s="86"/>
      <c r="I115" s="86"/>
      <c r="J115" s="129"/>
    </row>
    <row r="116" spans="1:10" s="125" customFormat="1" ht="55.5" customHeight="1">
      <c r="A116" s="21" t="s">
        <v>61</v>
      </c>
      <c r="B116" s="63">
        <v>24202.67</v>
      </c>
      <c r="C116" s="40" t="s">
        <v>137</v>
      </c>
      <c r="D116" s="63">
        <v>30</v>
      </c>
      <c r="E116" s="59" t="s">
        <v>147</v>
      </c>
      <c r="F116" s="59">
        <v>580</v>
      </c>
      <c r="G116" s="97" t="s">
        <v>110</v>
      </c>
      <c r="H116" s="86"/>
      <c r="I116" s="86"/>
      <c r="J116" s="129"/>
    </row>
    <row r="117" spans="1:10" s="125" customFormat="1" ht="55.5" customHeight="1">
      <c r="A117" s="21" t="s">
        <v>61</v>
      </c>
      <c r="B117" s="63"/>
      <c r="C117" s="40" t="s">
        <v>176</v>
      </c>
      <c r="D117" s="63">
        <v>7902</v>
      </c>
      <c r="E117" s="44" t="s">
        <v>140</v>
      </c>
      <c r="F117" s="59"/>
      <c r="G117" s="97"/>
      <c r="H117" s="86"/>
      <c r="I117" s="86"/>
      <c r="J117" s="129"/>
    </row>
    <row r="118" spans="1:10" s="125" customFormat="1" ht="45.75" customHeight="1">
      <c r="A118" s="21" t="s">
        <v>61</v>
      </c>
      <c r="B118" s="63"/>
      <c r="C118" s="40" t="s">
        <v>84</v>
      </c>
      <c r="D118" s="63">
        <v>50</v>
      </c>
      <c r="E118" s="59" t="s">
        <v>171</v>
      </c>
      <c r="F118" s="59"/>
      <c r="G118" s="97"/>
      <c r="H118" s="86"/>
      <c r="I118" s="86"/>
      <c r="J118" s="129"/>
    </row>
    <row r="119" spans="1:10" s="125" customFormat="1" ht="16.5" customHeight="1">
      <c r="A119" s="27" t="s">
        <v>20</v>
      </c>
      <c r="B119" s="64">
        <f>SUM(B116:B118)</f>
        <v>24202.67</v>
      </c>
      <c r="C119" s="94"/>
      <c r="D119" s="61">
        <f>SUM(D116:D118)</f>
        <v>7982</v>
      </c>
      <c r="E119" s="57"/>
      <c r="F119" s="61">
        <f>F118</f>
        <v>0</v>
      </c>
      <c r="G119" s="102"/>
      <c r="H119" s="86"/>
      <c r="I119" s="86"/>
      <c r="J119" s="129"/>
    </row>
    <row r="120" spans="1:10" s="125" customFormat="1" ht="55.5" customHeight="1">
      <c r="A120" s="115"/>
      <c r="B120" s="64"/>
      <c r="C120" s="40" t="s">
        <v>84</v>
      </c>
      <c r="D120" s="46">
        <v>30</v>
      </c>
      <c r="E120" s="59" t="s">
        <v>147</v>
      </c>
      <c r="F120" s="61">
        <v>1200</v>
      </c>
      <c r="G120" s="97" t="s">
        <v>109</v>
      </c>
      <c r="H120" s="86"/>
      <c r="I120" s="86"/>
      <c r="J120" s="129"/>
    </row>
    <row r="121" spans="1:10" s="125" customFormat="1" ht="45.75" customHeight="1">
      <c r="A121" s="448" t="s">
        <v>62</v>
      </c>
      <c r="B121" s="64"/>
      <c r="C121" s="40" t="s">
        <v>84</v>
      </c>
      <c r="D121" s="63">
        <v>50</v>
      </c>
      <c r="E121" s="59" t="s">
        <v>171</v>
      </c>
      <c r="F121" s="61"/>
      <c r="G121" s="97"/>
      <c r="H121" s="86"/>
      <c r="I121" s="86"/>
      <c r="J121" s="129"/>
    </row>
    <row r="122" spans="1:10" s="125" customFormat="1" ht="74.25" customHeight="1">
      <c r="A122" s="449"/>
      <c r="B122" s="63">
        <f>33715+16900+31300+8000+2000</f>
        <v>91915</v>
      </c>
      <c r="C122" s="40" t="s">
        <v>105</v>
      </c>
      <c r="D122" s="63">
        <v>595000</v>
      </c>
      <c r="E122" s="44" t="s">
        <v>101</v>
      </c>
      <c r="F122" s="59">
        <v>1464.5</v>
      </c>
      <c r="G122" s="97" t="s">
        <v>110</v>
      </c>
      <c r="H122" s="86"/>
      <c r="I122" s="86"/>
      <c r="J122" s="129"/>
    </row>
    <row r="123" spans="1:10" s="125" customFormat="1" ht="16.5" customHeight="1">
      <c r="A123" s="27" t="s">
        <v>20</v>
      </c>
      <c r="B123" s="64">
        <f>SUM(B122)</f>
        <v>91915</v>
      </c>
      <c r="C123" s="94"/>
      <c r="D123" s="64">
        <f>SUM(D120:D122)</f>
        <v>595080</v>
      </c>
      <c r="E123" s="57"/>
      <c r="F123" s="61">
        <f>F122+F121</f>
        <v>1464.5</v>
      </c>
      <c r="G123" s="102"/>
      <c r="H123" s="86"/>
      <c r="I123" s="86"/>
      <c r="J123" s="129"/>
    </row>
    <row r="124" spans="1:10" s="125" customFormat="1" ht="41.25" customHeight="1">
      <c r="A124" s="21" t="s">
        <v>46</v>
      </c>
      <c r="B124" s="63"/>
      <c r="C124" s="40" t="s">
        <v>84</v>
      </c>
      <c r="D124" s="63">
        <v>50</v>
      </c>
      <c r="E124" s="59" t="s">
        <v>171</v>
      </c>
      <c r="F124" s="59"/>
      <c r="G124" s="97"/>
      <c r="H124" s="86"/>
      <c r="I124" s="86"/>
      <c r="J124" s="129"/>
    </row>
    <row r="125" spans="1:10" s="125" customFormat="1" ht="52.5" customHeight="1">
      <c r="A125" s="21" t="s">
        <v>46</v>
      </c>
      <c r="B125" s="63">
        <f>10626+29800</f>
        <v>40426</v>
      </c>
      <c r="C125" s="40" t="s">
        <v>88</v>
      </c>
      <c r="D125" s="63">
        <v>30</v>
      </c>
      <c r="E125" s="59" t="s">
        <v>147</v>
      </c>
      <c r="F125" s="59">
        <v>797.5</v>
      </c>
      <c r="G125" s="97" t="s">
        <v>110</v>
      </c>
      <c r="H125" s="86"/>
      <c r="I125" s="86"/>
      <c r="J125" s="129"/>
    </row>
    <row r="126" spans="1:10" s="125" customFormat="1" ht="16.5" customHeight="1">
      <c r="A126" s="27" t="s">
        <v>20</v>
      </c>
      <c r="B126" s="64">
        <f>B125</f>
        <v>40426</v>
      </c>
      <c r="C126" s="94"/>
      <c r="D126" s="61">
        <f>SUM(D124:D125)</f>
        <v>80</v>
      </c>
      <c r="E126" s="57"/>
      <c r="F126" s="61">
        <f>F125</f>
        <v>797.5</v>
      </c>
      <c r="G126" s="102"/>
      <c r="H126" s="86"/>
      <c r="I126" s="86"/>
      <c r="J126" s="129"/>
    </row>
    <row r="127" spans="1:10" s="125" customFormat="1" ht="42.75" customHeight="1">
      <c r="A127" s="21" t="s">
        <v>63</v>
      </c>
      <c r="B127" s="63"/>
      <c r="C127" s="40" t="s">
        <v>84</v>
      </c>
      <c r="D127" s="63">
        <v>50</v>
      </c>
      <c r="E127" s="59" t="s">
        <v>171</v>
      </c>
      <c r="F127" s="59"/>
      <c r="G127" s="97"/>
      <c r="H127" s="86"/>
      <c r="I127" s="86"/>
      <c r="J127" s="129"/>
    </row>
    <row r="128" spans="1:10" s="125" customFormat="1" ht="54.75" customHeight="1">
      <c r="A128" s="21" t="s">
        <v>63</v>
      </c>
      <c r="B128" s="63"/>
      <c r="C128" s="40" t="s">
        <v>84</v>
      </c>
      <c r="D128" s="63">
        <v>30</v>
      </c>
      <c r="E128" s="59" t="s">
        <v>147</v>
      </c>
      <c r="F128" s="59"/>
      <c r="G128" s="97"/>
      <c r="H128" s="86"/>
      <c r="I128" s="86"/>
      <c r="J128" s="129"/>
    </row>
    <row r="129" spans="1:10" s="125" customFormat="1" ht="54.75" customHeight="1">
      <c r="A129" s="21" t="s">
        <v>63</v>
      </c>
      <c r="B129" s="63"/>
      <c r="C129" s="40" t="s">
        <v>150</v>
      </c>
      <c r="D129" s="63">
        <v>9823</v>
      </c>
      <c r="E129" s="44" t="s">
        <v>140</v>
      </c>
      <c r="F129" s="59"/>
      <c r="G129" s="97"/>
      <c r="H129" s="86"/>
      <c r="I129" s="86"/>
      <c r="J129" s="129"/>
    </row>
    <row r="130" spans="1:10" s="125" customFormat="1" ht="54.75" customHeight="1">
      <c r="A130" s="21" t="s">
        <v>63</v>
      </c>
      <c r="B130" s="63">
        <f>59077.12+4767.19+11654+13702.7+15950</f>
        <v>105151.01</v>
      </c>
      <c r="C130" s="40" t="s">
        <v>92</v>
      </c>
      <c r="D130" s="63">
        <v>686945.25</v>
      </c>
      <c r="E130" s="44" t="s">
        <v>101</v>
      </c>
      <c r="F130" s="59">
        <v>826.5</v>
      </c>
      <c r="G130" s="97" t="s">
        <v>110</v>
      </c>
      <c r="H130" s="86"/>
      <c r="I130" s="86"/>
      <c r="J130" s="129"/>
    </row>
    <row r="131" spans="1:10" s="125" customFormat="1" ht="16.5" customHeight="1">
      <c r="A131" s="27" t="s">
        <v>20</v>
      </c>
      <c r="B131" s="64">
        <f>B130</f>
        <v>105151.01</v>
      </c>
      <c r="C131" s="94"/>
      <c r="D131" s="64">
        <f>SUM(D127:D130)</f>
        <v>696848.25</v>
      </c>
      <c r="E131" s="57"/>
      <c r="F131" s="61">
        <f>F130</f>
        <v>826.5</v>
      </c>
      <c r="G131" s="102"/>
      <c r="H131" s="86"/>
      <c r="I131" s="86"/>
      <c r="J131" s="129"/>
    </row>
    <row r="132" spans="1:10" s="125" customFormat="1" ht="59.25" customHeight="1">
      <c r="A132" s="26" t="s">
        <v>111</v>
      </c>
      <c r="B132" s="64"/>
      <c r="C132" s="94"/>
      <c r="D132" s="140"/>
      <c r="E132" s="57"/>
      <c r="F132" s="61"/>
      <c r="G132" s="102"/>
      <c r="H132" s="45">
        <v>28000</v>
      </c>
      <c r="I132" s="97" t="s">
        <v>112</v>
      </c>
      <c r="J132" s="129"/>
    </row>
    <row r="133" spans="1:10" s="125" customFormat="1" ht="16.5" customHeight="1">
      <c r="A133" s="27" t="s">
        <v>20</v>
      </c>
      <c r="B133" s="64"/>
      <c r="C133" s="94"/>
      <c r="D133" s="140"/>
      <c r="E133" s="57"/>
      <c r="F133" s="61"/>
      <c r="G133" s="102"/>
      <c r="H133" s="74">
        <f>H132</f>
        <v>28000</v>
      </c>
      <c r="I133" s="86"/>
      <c r="J133" s="129"/>
    </row>
    <row r="134" spans="1:10" s="125" customFormat="1" ht="43.5" customHeight="1">
      <c r="A134" s="21" t="s">
        <v>53</v>
      </c>
      <c r="B134" s="63"/>
      <c r="C134" s="40"/>
      <c r="D134" s="63"/>
      <c r="E134" s="62"/>
      <c r="F134" s="59"/>
      <c r="G134" s="102"/>
      <c r="H134" s="86"/>
      <c r="I134" s="86"/>
      <c r="J134" s="129"/>
    </row>
    <row r="135" spans="1:10" s="125" customFormat="1" ht="16.5" customHeight="1">
      <c r="A135" s="27" t="s">
        <v>20</v>
      </c>
      <c r="B135" s="64">
        <f>B134</f>
        <v>0</v>
      </c>
      <c r="C135" s="94"/>
      <c r="D135" s="60"/>
      <c r="E135" s="57"/>
      <c r="F135" s="61"/>
      <c r="G135" s="102"/>
      <c r="H135" s="86"/>
      <c r="I135" s="86"/>
      <c r="J135" s="129"/>
    </row>
    <row r="136" spans="1:10" s="125" customFormat="1" ht="37.5" customHeight="1">
      <c r="A136" s="21" t="s">
        <v>54</v>
      </c>
      <c r="B136" s="63">
        <f>1469.62+120</f>
        <v>1589.62</v>
      </c>
      <c r="C136" s="40" t="s">
        <v>151</v>
      </c>
      <c r="D136" s="63"/>
      <c r="E136" s="62"/>
      <c r="F136" s="59"/>
      <c r="G136" s="103"/>
      <c r="H136" s="86"/>
      <c r="I136" s="86"/>
      <c r="J136" s="129"/>
    </row>
    <row r="137" spans="1:10" s="125" customFormat="1" ht="16.5" customHeight="1">
      <c r="A137" s="27" t="s">
        <v>20</v>
      </c>
      <c r="B137" s="64">
        <f>B136</f>
        <v>1589.62</v>
      </c>
      <c r="C137" s="94"/>
      <c r="D137" s="60"/>
      <c r="E137" s="57"/>
      <c r="F137" s="61"/>
      <c r="G137" s="102"/>
      <c r="H137" s="86"/>
      <c r="I137" s="86"/>
      <c r="J137" s="129"/>
    </row>
    <row r="138" spans="1:10" s="125" customFormat="1" ht="33.75" customHeight="1">
      <c r="A138" s="21" t="s">
        <v>103</v>
      </c>
      <c r="B138" s="63">
        <f>2435+1465</f>
        <v>3900</v>
      </c>
      <c r="C138" s="40" t="s">
        <v>177</v>
      </c>
      <c r="D138" s="63"/>
      <c r="E138" s="62"/>
      <c r="F138" s="59"/>
      <c r="G138" s="103"/>
      <c r="H138" s="86"/>
      <c r="I138" s="86"/>
      <c r="J138" s="129"/>
    </row>
    <row r="139" spans="1:10" s="125" customFormat="1" ht="16.5" customHeight="1">
      <c r="A139" s="27" t="s">
        <v>20</v>
      </c>
      <c r="B139" s="64">
        <f>B138</f>
        <v>3900</v>
      </c>
      <c r="C139" s="94"/>
      <c r="D139" s="60"/>
      <c r="E139" s="57"/>
      <c r="F139" s="61"/>
      <c r="G139" s="102"/>
      <c r="H139" s="86"/>
      <c r="I139" s="86"/>
      <c r="J139" s="129"/>
    </row>
    <row r="140" spans="1:10" s="125" customFormat="1" ht="19.5" customHeight="1">
      <c r="A140" s="21" t="s">
        <v>67</v>
      </c>
      <c r="B140" s="63"/>
      <c r="C140" s="40"/>
      <c r="D140" s="63"/>
      <c r="E140" s="62"/>
      <c r="F140" s="59"/>
      <c r="G140" s="103"/>
      <c r="H140" s="86"/>
      <c r="I140" s="86"/>
      <c r="J140" s="129"/>
    </row>
    <row r="141" spans="1:10" s="125" customFormat="1" ht="16.5" customHeight="1">
      <c r="A141" s="27" t="s">
        <v>20</v>
      </c>
      <c r="B141" s="64">
        <f>SUM(B140)</f>
        <v>0</v>
      </c>
      <c r="C141" s="94"/>
      <c r="D141" s="60"/>
      <c r="E141" s="57"/>
      <c r="F141" s="61"/>
      <c r="G141" s="102"/>
      <c r="H141" s="86"/>
      <c r="I141" s="86"/>
      <c r="J141" s="129"/>
    </row>
    <row r="142" spans="1:10" s="125" customFormat="1" ht="19.5" customHeight="1">
      <c r="A142" s="21" t="s">
        <v>64</v>
      </c>
      <c r="B142" s="63">
        <f>1003.8+30.87+43.81</f>
        <v>1078.4799999999998</v>
      </c>
      <c r="C142" s="40" t="s">
        <v>138</v>
      </c>
      <c r="D142" s="63"/>
      <c r="E142" s="62"/>
      <c r="F142" s="59"/>
      <c r="G142" s="103"/>
      <c r="H142" s="86"/>
      <c r="I142" s="86"/>
      <c r="J142" s="129"/>
    </row>
    <row r="143" spans="1:10" s="125" customFormat="1" ht="16.5" customHeight="1">
      <c r="A143" s="27" t="s">
        <v>20</v>
      </c>
      <c r="B143" s="64">
        <f>B142</f>
        <v>1078.4799999999998</v>
      </c>
      <c r="C143" s="94"/>
      <c r="D143" s="60"/>
      <c r="E143" s="57"/>
      <c r="F143" s="61"/>
      <c r="G143" s="102"/>
      <c r="H143" s="86"/>
      <c r="I143" s="86"/>
      <c r="J143" s="129"/>
    </row>
    <row r="144" spans="1:10" s="125" customFormat="1" ht="25.5" customHeight="1" thickBot="1">
      <c r="A144" s="27" t="s">
        <v>20</v>
      </c>
      <c r="B144" s="28"/>
      <c r="C144" s="94"/>
      <c r="D144" s="63"/>
      <c r="E144" s="57"/>
      <c r="F144" s="61"/>
      <c r="G144" s="102"/>
      <c r="H144" s="86"/>
      <c r="I144" s="86"/>
      <c r="J144" s="129"/>
    </row>
    <row r="145" spans="1:9" s="130" customFormat="1" ht="77.25" customHeight="1" thickBot="1">
      <c r="A145" s="67" t="s">
        <v>70</v>
      </c>
      <c r="B145" s="68">
        <f>SUM(B52+B54+B57+B61+B64+B68+B71+B84+B87+B90+B95+B98+B102+B105+B108+B111+B115+B119+B123+B126+B131+B135+B137+B139+B141+B143)</f>
        <v>929065.46</v>
      </c>
      <c r="C145" s="68"/>
      <c r="D145" s="68">
        <f>SUM(D57+D61+D64+D68+D71+D84+D87+D90+D95+D98+D102+D105+D108+D111+D115+D119+D123+D126+D131)</f>
        <v>1571211.4100000001</v>
      </c>
      <c r="E145" s="68"/>
      <c r="F145" s="68">
        <f>F54+F61+F64+F68+F71+F84+F87+F98+F102+F105+F108+F111+F115+F119+F123+F126+F131+F144+F57+F95+F90</f>
        <v>38866.2</v>
      </c>
      <c r="G145" s="104"/>
      <c r="H145" s="68">
        <f>H133</f>
        <v>28000</v>
      </c>
      <c r="I145" s="68"/>
    </row>
    <row r="146" spans="1:9" s="130" customFormat="1" ht="93.75" customHeight="1" thickBot="1">
      <c r="A146" s="69" t="s">
        <v>69</v>
      </c>
      <c r="B146" s="70">
        <f>SUM(B50+B145)</f>
        <v>1781509.85</v>
      </c>
      <c r="C146" s="70"/>
      <c r="D146" s="70">
        <f>D145+D50</f>
        <v>1571211.4100000001</v>
      </c>
      <c r="E146" s="70"/>
      <c r="F146" s="70">
        <f>F50+F145</f>
        <v>48223.2</v>
      </c>
      <c r="G146" s="105"/>
      <c r="H146" s="70">
        <f>H50+H145</f>
        <v>28000</v>
      </c>
      <c r="I146" s="70"/>
    </row>
    <row r="147" spans="1:10" s="8" customFormat="1" ht="24" customHeight="1" thickBot="1">
      <c r="A147" s="108"/>
      <c r="B147" s="108"/>
      <c r="C147" s="108"/>
      <c r="D147" s="88"/>
      <c r="E147" s="89"/>
      <c r="F147" s="88"/>
      <c r="G147" s="88"/>
      <c r="H147" s="71"/>
      <c r="I147" s="71"/>
      <c r="J147" s="7"/>
    </row>
    <row r="148" spans="1:10" s="8" customFormat="1" ht="24" customHeight="1">
      <c r="A148" s="108" t="s">
        <v>155</v>
      </c>
      <c r="B148" s="89"/>
      <c r="C148" s="89"/>
      <c r="D148" s="88"/>
      <c r="E148" s="89"/>
      <c r="F148" s="88"/>
      <c r="G148" s="89" t="s">
        <v>95</v>
      </c>
      <c r="H148" s="71"/>
      <c r="I148" s="71"/>
      <c r="J148" s="7"/>
    </row>
    <row r="149" spans="1:10" ht="15.75" customHeight="1">
      <c r="A149" s="90"/>
      <c r="B149" s="90"/>
      <c r="C149" s="91"/>
      <c r="D149" s="92"/>
      <c r="E149" s="93"/>
      <c r="F149" s="90"/>
      <c r="G149" s="90"/>
      <c r="H149" s="73"/>
      <c r="I149" s="73"/>
      <c r="J149" s="2"/>
    </row>
    <row r="150" spans="1:10" ht="11.25" customHeight="1">
      <c r="A150" s="90"/>
      <c r="B150" s="90"/>
      <c r="C150" s="91"/>
      <c r="D150" s="92"/>
      <c r="E150" s="93"/>
      <c r="F150" s="90"/>
      <c r="G150" s="90"/>
      <c r="H150" s="73"/>
      <c r="I150" s="73"/>
      <c r="J150" s="2"/>
    </row>
    <row r="151" spans="1:10" ht="20.25" customHeight="1">
      <c r="A151" s="90" t="s">
        <v>35</v>
      </c>
      <c r="B151" s="90"/>
      <c r="C151" s="91"/>
      <c r="D151" s="92"/>
      <c r="E151" s="93"/>
      <c r="F151" s="90"/>
      <c r="G151" s="90" t="s">
        <v>106</v>
      </c>
      <c r="H151" s="73"/>
      <c r="I151" s="73"/>
      <c r="J151" s="2"/>
    </row>
    <row r="152" spans="1:10" ht="20.25" customHeight="1">
      <c r="A152" s="90"/>
      <c r="B152" s="90"/>
      <c r="C152" s="91"/>
      <c r="D152" s="92"/>
      <c r="E152" s="93"/>
      <c r="F152" s="90"/>
      <c r="G152" s="90"/>
      <c r="H152" s="73"/>
      <c r="I152" s="73"/>
      <c r="J152" s="2"/>
    </row>
    <row r="153" spans="1:10" ht="13.5" customHeight="1">
      <c r="A153" s="91" t="s">
        <v>113</v>
      </c>
      <c r="B153" s="92"/>
      <c r="C153" s="91"/>
      <c r="D153" s="92"/>
      <c r="E153" s="90"/>
      <c r="F153" s="92"/>
      <c r="G153" s="92"/>
      <c r="H153" s="73"/>
      <c r="I153" s="73"/>
      <c r="J153" s="2"/>
    </row>
    <row r="154" spans="1:10" ht="13.5" customHeight="1">
      <c r="A154" s="91" t="s">
        <v>65</v>
      </c>
      <c r="B154" s="92"/>
      <c r="C154" s="91"/>
      <c r="D154" s="92"/>
      <c r="E154" s="90"/>
      <c r="F154" s="92"/>
      <c r="G154" s="92"/>
      <c r="H154" s="73"/>
      <c r="I154" s="73"/>
      <c r="J154" s="2"/>
    </row>
    <row r="155" spans="1:10" ht="14.25" customHeight="1">
      <c r="A155" s="91"/>
      <c r="B155" s="92"/>
      <c r="C155" s="91"/>
      <c r="D155" s="92"/>
      <c r="E155" s="90"/>
      <c r="F155" s="92"/>
      <c r="G155" s="92"/>
      <c r="H155" s="73"/>
      <c r="I155" s="73"/>
      <c r="J155" s="2"/>
    </row>
    <row r="156" spans="1:10" ht="20.25" customHeight="1">
      <c r="A156" s="91" t="s">
        <v>25</v>
      </c>
      <c r="B156" s="92"/>
      <c r="C156" s="91"/>
      <c r="D156" s="92"/>
      <c r="E156" s="90"/>
      <c r="F156" s="92"/>
      <c r="G156" s="92"/>
      <c r="H156" s="73"/>
      <c r="I156" s="73"/>
      <c r="J156" s="2"/>
    </row>
    <row r="157" spans="1:10" ht="20.25" customHeight="1">
      <c r="A157" s="91" t="s">
        <v>107</v>
      </c>
      <c r="B157" s="92"/>
      <c r="C157" s="91"/>
      <c r="D157" s="92"/>
      <c r="E157" s="90"/>
      <c r="F157" s="92"/>
      <c r="G157" s="92"/>
      <c r="H157" s="73"/>
      <c r="I157" s="73"/>
      <c r="J157" s="2"/>
    </row>
    <row r="158" spans="1:10" ht="12" customHeight="1">
      <c r="A158" s="2"/>
      <c r="B158" s="2"/>
      <c r="C158" s="6"/>
      <c r="D158" s="2"/>
      <c r="E158" s="2"/>
      <c r="F158" s="2"/>
      <c r="G158" s="2"/>
      <c r="H158" s="2"/>
      <c r="I158" s="2"/>
      <c r="J158" s="2"/>
    </row>
    <row r="159" spans="1:10" ht="15">
      <c r="A159" s="2"/>
      <c r="B159" s="2"/>
      <c r="C159" s="6"/>
      <c r="D159" s="2"/>
      <c r="E159" s="2"/>
      <c r="F159" s="2"/>
      <c r="G159" s="2"/>
      <c r="H159" s="2"/>
      <c r="I159" s="2"/>
      <c r="J159" s="2"/>
    </row>
    <row r="160" spans="1:9" ht="15">
      <c r="A160" s="3"/>
      <c r="B160" s="2"/>
      <c r="C160" s="6"/>
      <c r="D160" s="2"/>
      <c r="E160" s="2"/>
      <c r="F160" s="2"/>
      <c r="G160" s="2"/>
      <c r="H160" s="2"/>
      <c r="I160" s="2"/>
    </row>
  </sheetData>
  <sheetProtection/>
  <mergeCells count="51">
    <mergeCell ref="E23:E24"/>
    <mergeCell ref="A6:I6"/>
    <mergeCell ref="A7:I7"/>
    <mergeCell ref="F23:F24"/>
    <mergeCell ref="G23:G24"/>
    <mergeCell ref="H23:H24"/>
    <mergeCell ref="I23:I24"/>
    <mergeCell ref="A8:A11"/>
    <mergeCell ref="B8:E8"/>
    <mergeCell ref="F8:I8"/>
    <mergeCell ref="B9:C10"/>
    <mergeCell ref="G1:I1"/>
    <mergeCell ref="G3:I3"/>
    <mergeCell ref="G4:I4"/>
    <mergeCell ref="A5:I5"/>
    <mergeCell ref="H2:I2"/>
    <mergeCell ref="D9:E10"/>
    <mergeCell ref="F9:G10"/>
    <mergeCell ref="H9:I10"/>
    <mergeCell ref="C28:C30"/>
    <mergeCell ref="D23:D24"/>
    <mergeCell ref="A31:A32"/>
    <mergeCell ref="B31:B32"/>
    <mergeCell ref="A12:A13"/>
    <mergeCell ref="B12:B13"/>
    <mergeCell ref="A28:A29"/>
    <mergeCell ref="B28:B29"/>
    <mergeCell ref="B23:B24"/>
    <mergeCell ref="A23:A24"/>
    <mergeCell ref="C15:C16"/>
    <mergeCell ref="C17:C18"/>
    <mergeCell ref="C21:C22"/>
    <mergeCell ref="C26:C27"/>
    <mergeCell ref="C19:C20"/>
    <mergeCell ref="C12:C14"/>
    <mergeCell ref="C44:C45"/>
    <mergeCell ref="C46:C47"/>
    <mergeCell ref="C32:C33"/>
    <mergeCell ref="C34:C35"/>
    <mergeCell ref="C36:C37"/>
    <mergeCell ref="C38:C39"/>
    <mergeCell ref="A103:A104"/>
    <mergeCell ref="A96:A97"/>
    <mergeCell ref="A121:A122"/>
    <mergeCell ref="C70:C71"/>
    <mergeCell ref="C48:C49"/>
    <mergeCell ref="C23:C25"/>
    <mergeCell ref="C51:C52"/>
    <mergeCell ref="C53:C54"/>
    <mergeCell ref="C40:C41"/>
    <mergeCell ref="C42:C43"/>
  </mergeCells>
  <printOptions/>
  <pageMargins left="0.7874015748031497" right="0.3937007874015748" top="0.3937007874015748" bottom="0.3937007874015748" header="0.31496062992125984" footer="0.31496062992125984"/>
  <pageSetup horizontalDpi="180" verticalDpi="180" orientation="portrait" paperSize="9" scale="48" r:id="rId1"/>
  <rowBreaks count="2" manualBreakCount="2">
    <brk id="100" max="7" man="1"/>
    <brk id="195" max="8" man="1"/>
  </rowBreaks>
</worksheet>
</file>

<file path=xl/worksheets/sheet14.xml><?xml version="1.0" encoding="utf-8"?>
<worksheet xmlns="http://schemas.openxmlformats.org/spreadsheetml/2006/main" xmlns:r="http://schemas.openxmlformats.org/officeDocument/2006/relationships">
  <dimension ref="A1:K141"/>
  <sheetViews>
    <sheetView showGridLines="0" zoomScale="75" zoomScaleNormal="75" zoomScaleSheetLayoutView="75" zoomScalePageLayoutView="0" workbookViewId="0" topLeftCell="A118">
      <selection activeCell="E133" sqref="E133"/>
    </sheetView>
  </sheetViews>
  <sheetFormatPr defaultColWidth="9.140625" defaultRowHeight="15"/>
  <cols>
    <col min="1" max="1" width="16.7109375" style="1" customWidth="1"/>
    <col min="2" max="2" width="21.7109375" style="1" customWidth="1"/>
    <col min="3" max="3" width="27.7109375" style="5" customWidth="1"/>
    <col min="4" max="4" width="14.57421875" style="1" customWidth="1"/>
    <col min="5" max="5" width="19.28125" style="1" customWidth="1"/>
    <col min="6" max="6" width="16.140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480" t="s">
        <v>75</v>
      </c>
      <c r="H1" s="480"/>
      <c r="I1" s="480"/>
    </row>
    <row r="2" spans="3:9" ht="18" customHeight="1">
      <c r="C2" s="1"/>
      <c r="G2" s="107"/>
      <c r="H2" s="480" t="s">
        <v>74</v>
      </c>
      <c r="I2" s="480"/>
    </row>
    <row r="3" spans="3:9" ht="16.5" customHeight="1">
      <c r="C3" s="1"/>
      <c r="G3" s="480" t="s">
        <v>76</v>
      </c>
      <c r="H3" s="480"/>
      <c r="I3" s="480"/>
    </row>
    <row r="4" spans="3:9" ht="15.75">
      <c r="C4" s="1"/>
      <c r="G4" s="363"/>
      <c r="H4" s="363"/>
      <c r="I4" s="363"/>
    </row>
    <row r="5" spans="1:9" ht="15.75">
      <c r="A5" s="364" t="s">
        <v>26</v>
      </c>
      <c r="B5" s="364"/>
      <c r="C5" s="364"/>
      <c r="D5" s="364"/>
      <c r="E5" s="364"/>
      <c r="F5" s="364"/>
      <c r="G5" s="364"/>
      <c r="H5" s="364"/>
      <c r="I5" s="364"/>
    </row>
    <row r="6" spans="1:9" ht="15.75">
      <c r="A6" s="364" t="s">
        <v>156</v>
      </c>
      <c r="B6" s="364"/>
      <c r="C6" s="364"/>
      <c r="D6" s="364"/>
      <c r="E6" s="364"/>
      <c r="F6" s="364"/>
      <c r="G6" s="364"/>
      <c r="H6" s="364"/>
      <c r="I6" s="364"/>
    </row>
    <row r="7" spans="1:9" s="4" customFormat="1" ht="15.75">
      <c r="A7" s="364" t="s">
        <v>27</v>
      </c>
      <c r="B7" s="364"/>
      <c r="C7" s="364"/>
      <c r="D7" s="364"/>
      <c r="E7" s="364"/>
      <c r="F7" s="364"/>
      <c r="G7" s="364"/>
      <c r="H7" s="364"/>
      <c r="I7" s="364"/>
    </row>
    <row r="8" spans="1:10" s="122" customFormat="1" ht="16.5" customHeight="1">
      <c r="A8" s="420" t="s">
        <v>28</v>
      </c>
      <c r="B8" s="420" t="s">
        <v>0</v>
      </c>
      <c r="C8" s="420"/>
      <c r="D8" s="420"/>
      <c r="E8" s="420"/>
      <c r="F8" s="458" t="s">
        <v>1</v>
      </c>
      <c r="G8" s="459"/>
      <c r="H8" s="459"/>
      <c r="I8" s="460"/>
      <c r="J8" s="121"/>
    </row>
    <row r="9" spans="1:10" s="122" customFormat="1" ht="13.5" customHeight="1">
      <c r="A9" s="420"/>
      <c r="B9" s="420" t="s">
        <v>2</v>
      </c>
      <c r="C9" s="420"/>
      <c r="D9" s="420" t="s">
        <v>23</v>
      </c>
      <c r="E9" s="420"/>
      <c r="F9" s="452" t="s">
        <v>2</v>
      </c>
      <c r="G9" s="461"/>
      <c r="H9" s="452" t="s">
        <v>3</v>
      </c>
      <c r="I9" s="453"/>
      <c r="J9" s="121"/>
    </row>
    <row r="10" spans="1:10" s="122" customFormat="1" ht="18" customHeight="1">
      <c r="A10" s="420"/>
      <c r="B10" s="420"/>
      <c r="C10" s="420"/>
      <c r="D10" s="420"/>
      <c r="E10" s="420"/>
      <c r="F10" s="462"/>
      <c r="G10" s="463"/>
      <c r="H10" s="454"/>
      <c r="I10" s="455"/>
      <c r="J10" s="121"/>
    </row>
    <row r="11" spans="1:10" s="122" customFormat="1" ht="67.5" customHeight="1">
      <c r="A11" s="420"/>
      <c r="B11" s="19" t="s">
        <v>22</v>
      </c>
      <c r="C11" s="20" t="s">
        <v>4</v>
      </c>
      <c r="D11" s="19" t="s">
        <v>22</v>
      </c>
      <c r="E11" s="19" t="s">
        <v>5</v>
      </c>
      <c r="F11" s="19" t="s">
        <v>22</v>
      </c>
      <c r="G11" s="19" t="s">
        <v>4</v>
      </c>
      <c r="H11" s="19" t="s">
        <v>22</v>
      </c>
      <c r="I11" s="19" t="s">
        <v>6</v>
      </c>
      <c r="J11" s="121"/>
    </row>
    <row r="12" spans="1:10" s="122" customFormat="1" ht="34.5" customHeight="1">
      <c r="A12" s="448" t="s">
        <v>24</v>
      </c>
      <c r="B12" s="481">
        <f>16314.9+9550+161.4+1280+204</f>
        <v>27510.300000000003</v>
      </c>
      <c r="C12" s="444" t="s">
        <v>141</v>
      </c>
      <c r="D12" s="23"/>
      <c r="E12" s="24"/>
      <c r="F12" s="25"/>
      <c r="G12" s="97"/>
      <c r="H12" s="26"/>
      <c r="I12" s="26"/>
      <c r="J12" s="121"/>
    </row>
    <row r="13" spans="1:10" s="122" customFormat="1" ht="10.5" customHeight="1" hidden="1">
      <c r="A13" s="449"/>
      <c r="B13" s="482"/>
      <c r="C13" s="468"/>
      <c r="D13" s="23"/>
      <c r="E13" s="106"/>
      <c r="F13" s="25"/>
      <c r="G13" s="97"/>
      <c r="H13" s="26"/>
      <c r="I13" s="26"/>
      <c r="J13" s="121"/>
    </row>
    <row r="14" spans="1:11" s="125" customFormat="1" ht="24.75" customHeight="1">
      <c r="A14" s="27" t="s">
        <v>19</v>
      </c>
      <c r="B14" s="28">
        <f>SUM(B12:B13)</f>
        <v>27510.300000000003</v>
      </c>
      <c r="C14" s="445"/>
      <c r="D14" s="29"/>
      <c r="E14" s="30"/>
      <c r="F14" s="31"/>
      <c r="G14" s="98"/>
      <c r="H14" s="27"/>
      <c r="I14" s="27"/>
      <c r="J14" s="123"/>
      <c r="K14" s="124"/>
    </row>
    <row r="15" spans="1:11" s="122" customFormat="1" ht="21" customHeight="1">
      <c r="A15" s="21" t="s">
        <v>7</v>
      </c>
      <c r="B15" s="22">
        <f>3392.04+80.4+621.2+273.86+6558+125.6</f>
        <v>11051.1</v>
      </c>
      <c r="C15" s="431" t="s">
        <v>157</v>
      </c>
      <c r="D15" s="32"/>
      <c r="E15" s="33"/>
      <c r="F15" s="25"/>
      <c r="G15" s="97"/>
      <c r="H15" s="26"/>
      <c r="I15" s="26"/>
      <c r="J15" s="121"/>
      <c r="K15" s="126"/>
    </row>
    <row r="16" spans="1:11" s="125" customFormat="1" ht="19.5" customHeight="1">
      <c r="A16" s="27" t="s">
        <v>19</v>
      </c>
      <c r="B16" s="28">
        <f>SUM(B15)</f>
        <v>11051.1</v>
      </c>
      <c r="C16" s="433"/>
      <c r="D16" s="34"/>
      <c r="E16" s="30"/>
      <c r="F16" s="31"/>
      <c r="G16" s="98"/>
      <c r="H16" s="27"/>
      <c r="I16" s="27"/>
      <c r="J16" s="123"/>
      <c r="K16" s="124"/>
    </row>
    <row r="17" spans="1:11" s="125" customFormat="1" ht="20.25" customHeight="1">
      <c r="A17" s="35" t="s">
        <v>32</v>
      </c>
      <c r="B17" s="22">
        <f>91632.87+128+236</f>
        <v>91996.87</v>
      </c>
      <c r="C17" s="431" t="s">
        <v>123</v>
      </c>
      <c r="D17" s="21"/>
      <c r="E17" s="33"/>
      <c r="F17" s="36">
        <f>7907+1450</f>
        <v>9357</v>
      </c>
      <c r="G17" s="97"/>
      <c r="H17" s="27"/>
      <c r="I17" s="27"/>
      <c r="J17" s="123"/>
      <c r="K17" s="124"/>
    </row>
    <row r="18" spans="1:11" s="125" customFormat="1" ht="35.25" customHeight="1">
      <c r="A18" s="27" t="s">
        <v>19</v>
      </c>
      <c r="B18" s="28">
        <f>SUM(B17)</f>
        <v>91996.87</v>
      </c>
      <c r="C18" s="433"/>
      <c r="D18" s="29"/>
      <c r="E18" s="30"/>
      <c r="F18" s="37">
        <f>F17</f>
        <v>9357</v>
      </c>
      <c r="G18" s="98"/>
      <c r="H18" s="27"/>
      <c r="I18" s="27"/>
      <c r="J18" s="123"/>
      <c r="K18" s="124"/>
    </row>
    <row r="19" spans="1:11" s="122" customFormat="1" ht="21" customHeight="1">
      <c r="A19" s="21" t="s">
        <v>55</v>
      </c>
      <c r="B19" s="22">
        <v>10132</v>
      </c>
      <c r="C19" s="431" t="s">
        <v>96</v>
      </c>
      <c r="D19" s="38"/>
      <c r="E19" s="39"/>
      <c r="F19" s="25"/>
      <c r="G19" s="97"/>
      <c r="H19" s="26"/>
      <c r="I19" s="26"/>
      <c r="J19" s="121"/>
      <c r="K19" s="126"/>
    </row>
    <row r="20" spans="1:11" s="125" customFormat="1" ht="17.25" customHeight="1">
      <c r="A20" s="27" t="s">
        <v>20</v>
      </c>
      <c r="B20" s="28">
        <f>B19</f>
        <v>10132</v>
      </c>
      <c r="C20" s="433"/>
      <c r="D20" s="23"/>
      <c r="E20" s="33"/>
      <c r="F20" s="31"/>
      <c r="G20" s="98"/>
      <c r="H20" s="27"/>
      <c r="I20" s="27"/>
      <c r="J20" s="123"/>
      <c r="K20" s="124"/>
    </row>
    <row r="21" spans="1:11" s="122" customFormat="1" ht="20.25" customHeight="1">
      <c r="A21" s="21" t="s">
        <v>8</v>
      </c>
      <c r="B21" s="22">
        <v>23945</v>
      </c>
      <c r="C21" s="431" t="s">
        <v>116</v>
      </c>
      <c r="D21" s="38"/>
      <c r="E21" s="39"/>
      <c r="F21" s="25"/>
      <c r="G21" s="97"/>
      <c r="H21" s="41"/>
      <c r="I21" s="97"/>
      <c r="J21" s="121"/>
      <c r="K21" s="126"/>
    </row>
    <row r="22" spans="1:11" s="125" customFormat="1" ht="29.25" customHeight="1">
      <c r="A22" s="27" t="s">
        <v>20</v>
      </c>
      <c r="B22" s="28">
        <f>B21</f>
        <v>23945</v>
      </c>
      <c r="C22" s="433"/>
      <c r="D22" s="109"/>
      <c r="E22" s="112"/>
      <c r="F22" s="113"/>
      <c r="G22" s="110"/>
      <c r="H22" s="114">
        <f>H21</f>
        <v>0</v>
      </c>
      <c r="I22" s="115"/>
      <c r="J22" s="123"/>
      <c r="K22" s="124"/>
    </row>
    <row r="23" spans="1:11" s="125" customFormat="1" ht="20.25" customHeight="1">
      <c r="A23" s="448" t="s">
        <v>9</v>
      </c>
      <c r="B23" s="450">
        <f>108539+2800+5200+21823</f>
        <v>138362</v>
      </c>
      <c r="C23" s="431" t="s">
        <v>133</v>
      </c>
      <c r="D23" s="428"/>
      <c r="E23" s="429"/>
      <c r="F23" s="430"/>
      <c r="G23" s="427"/>
      <c r="H23" s="426"/>
      <c r="I23" s="426"/>
      <c r="J23" s="123"/>
      <c r="K23" s="124"/>
    </row>
    <row r="24" spans="1:11" s="125" customFormat="1" ht="8.25" customHeight="1">
      <c r="A24" s="449"/>
      <c r="B24" s="451"/>
      <c r="C24" s="432"/>
      <c r="D24" s="428"/>
      <c r="E24" s="429"/>
      <c r="F24" s="430"/>
      <c r="G24" s="427"/>
      <c r="H24" s="426"/>
      <c r="I24" s="426"/>
      <c r="J24" s="123"/>
      <c r="K24" s="124"/>
    </row>
    <row r="25" spans="1:11" s="125" customFormat="1" ht="38.25" customHeight="1">
      <c r="A25" s="27" t="s">
        <v>20</v>
      </c>
      <c r="B25" s="28">
        <f>SUM(B23:B24)</f>
        <v>138362</v>
      </c>
      <c r="C25" s="433"/>
      <c r="D25" s="23"/>
      <c r="E25" s="119"/>
      <c r="F25" s="74"/>
      <c r="G25" s="98"/>
      <c r="H25" s="60"/>
      <c r="I25" s="60"/>
      <c r="J25" s="123"/>
      <c r="K25" s="124"/>
    </row>
    <row r="26" spans="1:11" s="122" customFormat="1" ht="18" customHeight="1">
      <c r="A26" s="21" t="s">
        <v>10</v>
      </c>
      <c r="B26" s="22">
        <f>27480.35+64.8+178.55+190.05</f>
        <v>27913.749999999996</v>
      </c>
      <c r="C26" s="431" t="s">
        <v>89</v>
      </c>
      <c r="D26" s="23"/>
      <c r="E26" s="119"/>
      <c r="F26" s="59"/>
      <c r="G26" s="97"/>
      <c r="H26" s="19"/>
      <c r="I26" s="19"/>
      <c r="J26" s="121"/>
      <c r="K26" s="126"/>
    </row>
    <row r="27" spans="1:11" s="125" customFormat="1" ht="16.5" customHeight="1">
      <c r="A27" s="27" t="s">
        <v>20</v>
      </c>
      <c r="B27" s="28">
        <f>SUM(B26)</f>
        <v>27913.749999999996</v>
      </c>
      <c r="C27" s="433"/>
      <c r="D27" s="23"/>
      <c r="E27" s="119"/>
      <c r="F27" s="57"/>
      <c r="G27" s="98"/>
      <c r="H27" s="60"/>
      <c r="I27" s="60"/>
      <c r="J27" s="123"/>
      <c r="K27" s="124"/>
    </row>
    <row r="28" spans="1:10" s="122" customFormat="1" ht="31.5" customHeight="1">
      <c r="A28" s="448" t="s">
        <v>11</v>
      </c>
      <c r="B28" s="450">
        <f>68894.29+24116.8+10900+286.9</f>
        <v>104197.98999999999</v>
      </c>
      <c r="C28" s="444" t="s">
        <v>124</v>
      </c>
      <c r="D28" s="23"/>
      <c r="E28" s="119"/>
      <c r="F28" s="75"/>
      <c r="G28" s="97"/>
      <c r="H28" s="19"/>
      <c r="I28" s="19"/>
      <c r="J28" s="121"/>
    </row>
    <row r="29" spans="1:10" s="122" customFormat="1" ht="0.75" customHeight="1" hidden="1">
      <c r="A29" s="449"/>
      <c r="B29" s="451"/>
      <c r="C29" s="468"/>
      <c r="D29" s="23"/>
      <c r="E29" s="119"/>
      <c r="F29" s="75"/>
      <c r="G29" s="97"/>
      <c r="H29" s="19"/>
      <c r="I29" s="19"/>
      <c r="J29" s="121"/>
    </row>
    <row r="30" spans="1:10" s="125" customFormat="1" ht="16.5" customHeight="1">
      <c r="A30" s="27" t="s">
        <v>20</v>
      </c>
      <c r="B30" s="28">
        <f>SUM(B28:B29)</f>
        <v>104197.98999999999</v>
      </c>
      <c r="C30" s="445"/>
      <c r="D30" s="19"/>
      <c r="E30" s="43"/>
      <c r="F30" s="74"/>
      <c r="G30" s="98"/>
      <c r="H30" s="60"/>
      <c r="I30" s="60"/>
      <c r="J30" s="123"/>
    </row>
    <row r="31" spans="1:10" s="122" customFormat="1" ht="6" customHeight="1" hidden="1">
      <c r="A31" s="448" t="s">
        <v>49</v>
      </c>
      <c r="B31" s="450">
        <f>25404.2+7867+7269</f>
        <v>40540.2</v>
      </c>
      <c r="C31" s="40"/>
      <c r="D31" s="23"/>
      <c r="E31" s="119"/>
      <c r="F31" s="75"/>
      <c r="G31" s="97"/>
      <c r="H31" s="19"/>
      <c r="I31" s="19"/>
      <c r="J31" s="121"/>
    </row>
    <row r="32" spans="1:10" s="122" customFormat="1" ht="19.5" customHeight="1">
      <c r="A32" s="449"/>
      <c r="B32" s="451"/>
      <c r="C32" s="431" t="s">
        <v>158</v>
      </c>
      <c r="D32" s="23"/>
      <c r="E32" s="119"/>
      <c r="F32" s="75"/>
      <c r="G32" s="97"/>
      <c r="H32" s="19"/>
      <c r="I32" s="19"/>
      <c r="J32" s="121"/>
    </row>
    <row r="33" spans="1:10" s="125" customFormat="1" ht="17.25" customHeight="1">
      <c r="A33" s="27" t="s">
        <v>20</v>
      </c>
      <c r="B33" s="28">
        <v>40540.2</v>
      </c>
      <c r="C33" s="433"/>
      <c r="D33" s="116"/>
      <c r="E33" s="117"/>
      <c r="F33" s="118"/>
      <c r="G33" s="111"/>
      <c r="H33" s="85"/>
      <c r="I33" s="85"/>
      <c r="J33" s="123"/>
    </row>
    <row r="34" spans="1:10" s="122" customFormat="1" ht="21.75" customHeight="1">
      <c r="A34" s="21" t="s">
        <v>12</v>
      </c>
      <c r="B34" s="22">
        <f>26465+120+120+670</f>
        <v>27375</v>
      </c>
      <c r="C34" s="431" t="s">
        <v>80</v>
      </c>
      <c r="D34" s="19"/>
      <c r="E34" s="43"/>
      <c r="F34" s="76"/>
      <c r="G34" s="97"/>
      <c r="H34" s="19"/>
      <c r="I34" s="19"/>
      <c r="J34" s="121"/>
    </row>
    <row r="35" spans="1:10" s="125" customFormat="1" ht="16.5" customHeight="1">
      <c r="A35" s="27" t="s">
        <v>20</v>
      </c>
      <c r="B35" s="28">
        <f>SUM(B34)</f>
        <v>27375</v>
      </c>
      <c r="C35" s="433"/>
      <c r="D35" s="44"/>
      <c r="E35" s="45"/>
      <c r="F35" s="77"/>
      <c r="G35" s="98"/>
      <c r="H35" s="60"/>
      <c r="I35" s="60"/>
      <c r="J35" s="123"/>
    </row>
    <row r="36" spans="1:10" s="122" customFormat="1" ht="18" customHeight="1">
      <c r="A36" s="21" t="s">
        <v>21</v>
      </c>
      <c r="B36" s="22">
        <f>18720+50+972+680</f>
        <v>20422</v>
      </c>
      <c r="C36" s="431" t="s">
        <v>90</v>
      </c>
      <c r="D36" s="44"/>
      <c r="E36" s="43"/>
      <c r="F36" s="76"/>
      <c r="G36" s="97"/>
      <c r="H36" s="19"/>
      <c r="I36" s="19"/>
      <c r="J36" s="121"/>
    </row>
    <row r="37" spans="1:10" s="125" customFormat="1" ht="16.5" customHeight="1">
      <c r="A37" s="27" t="s">
        <v>20</v>
      </c>
      <c r="B37" s="28">
        <f>SUM(B36:B36)</f>
        <v>20422</v>
      </c>
      <c r="C37" s="433"/>
      <c r="D37" s="19"/>
      <c r="E37" s="43"/>
      <c r="F37" s="77"/>
      <c r="G37" s="98"/>
      <c r="H37" s="60"/>
      <c r="I37" s="60"/>
      <c r="J37" s="123"/>
    </row>
    <row r="38" spans="1:10" s="122" customFormat="1" ht="22.5" customHeight="1">
      <c r="A38" s="21" t="s">
        <v>13</v>
      </c>
      <c r="B38" s="22">
        <f>16983.2+260+2440+953.2+7960+440+440+1540</f>
        <v>31016.4</v>
      </c>
      <c r="C38" s="431" t="s">
        <v>142</v>
      </c>
      <c r="D38" s="44"/>
      <c r="E38" s="42"/>
      <c r="F38" s="43"/>
      <c r="G38" s="97"/>
      <c r="H38" s="19"/>
      <c r="I38" s="19"/>
      <c r="J38" s="121"/>
    </row>
    <row r="39" spans="1:10" s="125" customFormat="1" ht="17.25" customHeight="1">
      <c r="A39" s="27" t="s">
        <v>20</v>
      </c>
      <c r="B39" s="28">
        <f>SUM(B38)</f>
        <v>31016.4</v>
      </c>
      <c r="C39" s="433"/>
      <c r="D39" s="44"/>
      <c r="E39" s="42"/>
      <c r="F39" s="74"/>
      <c r="G39" s="98"/>
      <c r="H39" s="60"/>
      <c r="I39" s="60"/>
      <c r="J39" s="123"/>
    </row>
    <row r="40" spans="1:10" s="122" customFormat="1" ht="21" customHeight="1">
      <c r="A40" s="21" t="s">
        <v>14</v>
      </c>
      <c r="B40" s="22">
        <f>8120.7+711.9+350+17005</f>
        <v>26187.6</v>
      </c>
      <c r="C40" s="431" t="s">
        <v>143</v>
      </c>
      <c r="D40" s="44"/>
      <c r="E40" s="42"/>
      <c r="F40" s="43"/>
      <c r="G40" s="97"/>
      <c r="H40" s="19"/>
      <c r="I40" s="19"/>
      <c r="J40" s="121"/>
    </row>
    <row r="41" spans="1:10" s="125" customFormat="1" ht="17.25" customHeight="1">
      <c r="A41" s="27" t="s">
        <v>20</v>
      </c>
      <c r="B41" s="28">
        <f>SUM(B40:B40)</f>
        <v>26187.6</v>
      </c>
      <c r="C41" s="433"/>
      <c r="D41" s="44"/>
      <c r="E41" s="42"/>
      <c r="F41" s="74">
        <f>F40</f>
        <v>0</v>
      </c>
      <c r="G41" s="98"/>
      <c r="H41" s="60"/>
      <c r="I41" s="60"/>
      <c r="J41" s="123"/>
    </row>
    <row r="42" spans="1:10" s="122" customFormat="1" ht="19.5" customHeight="1">
      <c r="A42" s="21" t="s">
        <v>15</v>
      </c>
      <c r="B42" s="22">
        <f>8785.5+493+562+702+13380+19340</f>
        <v>43262.5</v>
      </c>
      <c r="C42" s="431" t="s">
        <v>159</v>
      </c>
      <c r="D42" s="44"/>
      <c r="E42" s="46"/>
      <c r="F42" s="43"/>
      <c r="G42" s="97"/>
      <c r="H42" s="19"/>
      <c r="I42" s="19"/>
      <c r="J42" s="121"/>
    </row>
    <row r="43" spans="1:10" s="125" customFormat="1" ht="16.5" customHeight="1">
      <c r="A43" s="27" t="s">
        <v>20</v>
      </c>
      <c r="B43" s="28">
        <f>SUM(B42:B42)</f>
        <v>43262.5</v>
      </c>
      <c r="C43" s="433"/>
      <c r="D43" s="44"/>
      <c r="E43" s="46"/>
      <c r="F43" s="74"/>
      <c r="G43" s="98"/>
      <c r="H43" s="60"/>
      <c r="I43" s="60"/>
      <c r="J43" s="123"/>
    </row>
    <row r="44" spans="1:10" s="122" customFormat="1" ht="21.75" customHeight="1">
      <c r="A44" s="21" t="s">
        <v>16</v>
      </c>
      <c r="B44" s="22">
        <f>25196.58+1427+7200+507.5+4929.17+3110+5625.66+283.5+1090</f>
        <v>49369.41</v>
      </c>
      <c r="C44" s="431" t="s">
        <v>144</v>
      </c>
      <c r="D44" s="44"/>
      <c r="E44" s="46"/>
      <c r="F44" s="43"/>
      <c r="G44" s="97"/>
      <c r="H44" s="19"/>
      <c r="I44" s="19"/>
      <c r="J44" s="121"/>
    </row>
    <row r="45" spans="1:10" s="125" customFormat="1" ht="16.5" customHeight="1">
      <c r="A45" s="27" t="s">
        <v>20</v>
      </c>
      <c r="B45" s="28">
        <f>SUM(B44:B44)</f>
        <v>49369.41</v>
      </c>
      <c r="C45" s="433"/>
      <c r="D45" s="44"/>
      <c r="E45" s="46"/>
      <c r="F45" s="74">
        <f>F44</f>
        <v>0</v>
      </c>
      <c r="G45" s="98"/>
      <c r="H45" s="60"/>
      <c r="I45" s="60"/>
      <c r="J45" s="123"/>
    </row>
    <row r="46" spans="1:10" s="122" customFormat="1" ht="18.75" customHeight="1">
      <c r="A46" s="21" t="s">
        <v>17</v>
      </c>
      <c r="B46" s="47">
        <f>13350.15+206.5+30.45+812.6+3640+7610</f>
        <v>25649.7</v>
      </c>
      <c r="C46" s="431" t="s">
        <v>160</v>
      </c>
      <c r="D46" s="19"/>
      <c r="E46" s="46"/>
      <c r="F46" s="43"/>
      <c r="G46" s="99"/>
      <c r="H46" s="19"/>
      <c r="I46" s="19"/>
      <c r="J46" s="121"/>
    </row>
    <row r="47" spans="1:10" s="125" customFormat="1" ht="17.25" customHeight="1">
      <c r="A47" s="27" t="s">
        <v>20</v>
      </c>
      <c r="B47" s="48">
        <f>SUM(B46:B46)</f>
        <v>25649.7</v>
      </c>
      <c r="C47" s="433"/>
      <c r="D47" s="44"/>
      <c r="E47" s="42"/>
      <c r="F47" s="74"/>
      <c r="G47" s="98"/>
      <c r="H47" s="60"/>
      <c r="I47" s="60"/>
      <c r="J47" s="123"/>
    </row>
    <row r="48" spans="1:10" s="122" customFormat="1" ht="18.75" customHeight="1">
      <c r="A48" s="49" t="s">
        <v>18</v>
      </c>
      <c r="B48" s="22">
        <f>7132+268.5+280+1400+325</f>
        <v>9405.5</v>
      </c>
      <c r="C48" s="431" t="s">
        <v>161</v>
      </c>
      <c r="D48" s="44"/>
      <c r="E48" s="42"/>
      <c r="F48" s="43"/>
      <c r="G48" s="97"/>
      <c r="H48" s="19"/>
      <c r="I48" s="19"/>
      <c r="J48" s="121"/>
    </row>
    <row r="49" spans="1:10" s="122" customFormat="1" ht="19.5" customHeight="1" thickBot="1">
      <c r="A49" s="27" t="s">
        <v>20</v>
      </c>
      <c r="B49" s="28">
        <f>SUM(B48:B48)</f>
        <v>9405.5</v>
      </c>
      <c r="C49" s="433"/>
      <c r="D49" s="44"/>
      <c r="E49" s="43"/>
      <c r="F49" s="74">
        <f>F48</f>
        <v>0</v>
      </c>
      <c r="G49" s="97"/>
      <c r="H49" s="19"/>
      <c r="I49" s="19"/>
      <c r="J49" s="121"/>
    </row>
    <row r="50" spans="1:10" s="128" customFormat="1" ht="36.75" customHeight="1" thickBot="1">
      <c r="A50" s="52" t="s">
        <v>68</v>
      </c>
      <c r="B50" s="53">
        <f>SUM(B14+B16+B18+B20+B22+B25+B27+B30+B33+B35+B37+B39+B41+B43+B45+B47+B49)</f>
        <v>708337.32</v>
      </c>
      <c r="C50" s="133"/>
      <c r="D50" s="134"/>
      <c r="E50" s="135"/>
      <c r="F50" s="80">
        <f>F41+F49+F18+F45</f>
        <v>9357</v>
      </c>
      <c r="G50" s="136"/>
      <c r="H50" s="137">
        <f>H22</f>
        <v>0</v>
      </c>
      <c r="I50" s="138"/>
      <c r="J50" s="127"/>
    </row>
    <row r="51" spans="1:10" s="122" customFormat="1" ht="24" customHeight="1">
      <c r="A51" s="26" t="s">
        <v>41</v>
      </c>
      <c r="B51" s="22">
        <f>39002.8+10110</f>
        <v>49112.8</v>
      </c>
      <c r="C51" s="431" t="s">
        <v>82</v>
      </c>
      <c r="D51" s="56"/>
      <c r="E51" s="83"/>
      <c r="F51" s="84"/>
      <c r="G51" s="97"/>
      <c r="H51" s="85"/>
      <c r="I51" s="85"/>
      <c r="J51" s="123"/>
    </row>
    <row r="52" spans="1:10" s="125" customFormat="1" ht="17.25" customHeight="1">
      <c r="A52" s="27" t="s">
        <v>20</v>
      </c>
      <c r="B52" s="28">
        <f>SUM(B51:B51)</f>
        <v>49112.8</v>
      </c>
      <c r="C52" s="433"/>
      <c r="D52" s="57"/>
      <c r="E52" s="58"/>
      <c r="F52" s="74">
        <f>F51</f>
        <v>0</v>
      </c>
      <c r="G52" s="98"/>
      <c r="H52" s="60"/>
      <c r="I52" s="60"/>
      <c r="J52" s="123"/>
    </row>
    <row r="53" spans="1:10" s="122" customFormat="1" ht="24" customHeight="1">
      <c r="A53" s="26" t="s">
        <v>56</v>
      </c>
      <c r="B53" s="22">
        <f>24471.4+320+312+720.8</f>
        <v>25824.2</v>
      </c>
      <c r="C53" s="431" t="s">
        <v>78</v>
      </c>
      <c r="D53" s="56"/>
      <c r="E53" s="83"/>
      <c r="F53" s="84"/>
      <c r="G53" s="97"/>
      <c r="H53" s="85"/>
      <c r="I53" s="85"/>
      <c r="J53" s="123"/>
    </row>
    <row r="54" spans="1:10" s="125" customFormat="1" ht="17.25" customHeight="1">
      <c r="A54" s="27" t="s">
        <v>20</v>
      </c>
      <c r="B54" s="28">
        <f>SUM(B53:B53)</f>
        <v>25824.2</v>
      </c>
      <c r="C54" s="433"/>
      <c r="D54" s="57"/>
      <c r="E54" s="58"/>
      <c r="F54" s="74">
        <f>F53</f>
        <v>0</v>
      </c>
      <c r="G54" s="98"/>
      <c r="H54" s="60"/>
      <c r="I54" s="60"/>
      <c r="J54" s="123"/>
    </row>
    <row r="55" spans="1:10" s="125" customFormat="1" ht="57" customHeight="1">
      <c r="A55" s="21" t="s">
        <v>39</v>
      </c>
      <c r="B55" s="22">
        <v>24844</v>
      </c>
      <c r="C55" s="120" t="s">
        <v>117</v>
      </c>
      <c r="D55" s="59">
        <v>80</v>
      </c>
      <c r="E55" s="59" t="s">
        <v>147</v>
      </c>
      <c r="F55" s="43">
        <v>986</v>
      </c>
      <c r="G55" s="97" t="s">
        <v>110</v>
      </c>
      <c r="H55" s="60"/>
      <c r="I55" s="60"/>
      <c r="J55" s="123"/>
    </row>
    <row r="56" spans="1:10" s="125" customFormat="1" ht="17.25" customHeight="1">
      <c r="A56" s="27" t="s">
        <v>20</v>
      </c>
      <c r="B56" s="28">
        <f>SUM(B55:B55)</f>
        <v>24844</v>
      </c>
      <c r="C56" s="94"/>
      <c r="D56" s="57">
        <v>80</v>
      </c>
      <c r="E56" s="58"/>
      <c r="F56" s="74">
        <f>F55</f>
        <v>986</v>
      </c>
      <c r="G56" s="98"/>
      <c r="H56" s="60"/>
      <c r="I56" s="60"/>
      <c r="J56" s="123"/>
    </row>
    <row r="57" spans="1:10" s="122" customFormat="1" ht="57" customHeight="1">
      <c r="A57" s="21" t="s">
        <v>38</v>
      </c>
      <c r="B57" s="22"/>
      <c r="C57" s="40" t="s">
        <v>164</v>
      </c>
      <c r="D57" s="59">
        <v>6000</v>
      </c>
      <c r="E57" s="44" t="s">
        <v>140</v>
      </c>
      <c r="F57" s="43">
        <v>826.5</v>
      </c>
      <c r="G57" s="97" t="s">
        <v>110</v>
      </c>
      <c r="H57" s="78"/>
      <c r="I57" s="19"/>
      <c r="J57" s="73"/>
    </row>
    <row r="58" spans="1:10" s="122" customFormat="1" ht="57" customHeight="1">
      <c r="A58" s="21" t="s">
        <v>38</v>
      </c>
      <c r="B58" s="22">
        <f>1015+4536+11000+1400+7605+15299+6845+2321</f>
        <v>50021</v>
      </c>
      <c r="C58" s="40" t="s">
        <v>163</v>
      </c>
      <c r="D58" s="59">
        <v>30</v>
      </c>
      <c r="E58" s="59" t="s">
        <v>147</v>
      </c>
      <c r="F58" s="43">
        <v>826.5</v>
      </c>
      <c r="G58" s="97" t="s">
        <v>110</v>
      </c>
      <c r="H58" s="78"/>
      <c r="I58" s="19"/>
      <c r="J58" s="73"/>
    </row>
    <row r="59" spans="1:10" s="125" customFormat="1" ht="16.5" customHeight="1">
      <c r="A59" s="27" t="s">
        <v>20</v>
      </c>
      <c r="B59" s="28">
        <f>SUM(B58:B58)</f>
        <v>50021</v>
      </c>
      <c r="C59" s="94"/>
      <c r="D59" s="57">
        <f>SUM(D57:D58)</f>
        <v>6030</v>
      </c>
      <c r="E59" s="86"/>
      <c r="F59" s="74">
        <f>F58</f>
        <v>826.5</v>
      </c>
      <c r="G59" s="102"/>
      <c r="H59" s="86"/>
      <c r="I59" s="60"/>
      <c r="J59" s="129"/>
    </row>
    <row r="60" spans="1:10" s="125" customFormat="1" ht="37.5" customHeight="1">
      <c r="A60" s="21" t="s">
        <v>40</v>
      </c>
      <c r="B60" s="22">
        <f>2528.6+10082.8+200</f>
        <v>12811.4</v>
      </c>
      <c r="C60" s="40" t="s">
        <v>162</v>
      </c>
      <c r="D60" s="59">
        <v>110</v>
      </c>
      <c r="E60" s="59" t="s">
        <v>147</v>
      </c>
      <c r="F60" s="43">
        <v>449.5</v>
      </c>
      <c r="G60" s="97" t="s">
        <v>110</v>
      </c>
      <c r="H60" s="86"/>
      <c r="I60" s="60"/>
      <c r="J60" s="129"/>
    </row>
    <row r="61" spans="1:10" s="125" customFormat="1" ht="17.25" customHeight="1">
      <c r="A61" s="27" t="s">
        <v>20</v>
      </c>
      <c r="B61" s="28">
        <f>SUM(B60:B60)</f>
        <v>12811.4</v>
      </c>
      <c r="C61" s="96"/>
      <c r="D61" s="61">
        <f>D60</f>
        <v>110</v>
      </c>
      <c r="E61" s="61"/>
      <c r="F61" s="57">
        <f>F60</f>
        <v>449.5</v>
      </c>
      <c r="G61" s="102"/>
      <c r="H61" s="86"/>
      <c r="I61" s="60"/>
      <c r="J61" s="129"/>
    </row>
    <row r="62" spans="1:10" s="125" customFormat="1" ht="54.75" customHeight="1">
      <c r="A62" s="21" t="s">
        <v>42</v>
      </c>
      <c r="B62" s="22">
        <f>4952+6200+700+452</f>
        <v>12304</v>
      </c>
      <c r="C62" s="40" t="s">
        <v>165</v>
      </c>
      <c r="D62" s="59">
        <v>80</v>
      </c>
      <c r="E62" s="59" t="s">
        <v>147</v>
      </c>
      <c r="F62" s="59">
        <v>507.5</v>
      </c>
      <c r="G62" s="97" t="s">
        <v>110</v>
      </c>
      <c r="H62" s="86"/>
      <c r="I62" s="60"/>
      <c r="J62" s="129"/>
    </row>
    <row r="63" spans="1:10" s="125" customFormat="1" ht="17.25" customHeight="1">
      <c r="A63" s="27" t="s">
        <v>20</v>
      </c>
      <c r="B63" s="28">
        <f>SUM(B62:B62)</f>
        <v>12304</v>
      </c>
      <c r="C63" s="96"/>
      <c r="D63" s="57">
        <f>D62</f>
        <v>80</v>
      </c>
      <c r="E63" s="61"/>
      <c r="F63" s="57">
        <f>F62</f>
        <v>507.5</v>
      </c>
      <c r="G63" s="102"/>
      <c r="H63" s="86"/>
      <c r="I63" s="60"/>
      <c r="J63" s="129"/>
    </row>
    <row r="64" spans="1:10" s="122" customFormat="1" ht="52.5" customHeight="1">
      <c r="A64" s="21" t="s">
        <v>29</v>
      </c>
      <c r="B64" s="22">
        <f>64331.7+6876+12640+1721+1298+1711</f>
        <v>88577.7</v>
      </c>
      <c r="C64" s="431" t="s">
        <v>118</v>
      </c>
      <c r="D64" s="45">
        <v>30</v>
      </c>
      <c r="E64" s="59" t="s">
        <v>147</v>
      </c>
      <c r="F64" s="45">
        <v>1711</v>
      </c>
      <c r="G64" s="97" t="s">
        <v>110</v>
      </c>
      <c r="H64" s="43"/>
      <c r="I64" s="19"/>
      <c r="J64" s="73"/>
    </row>
    <row r="65" spans="1:10" s="125" customFormat="1" ht="33.75" customHeight="1">
      <c r="A65" s="27" t="s">
        <v>20</v>
      </c>
      <c r="B65" s="28">
        <f>SUM(B64:B64)</f>
        <v>88577.7</v>
      </c>
      <c r="C65" s="433"/>
      <c r="D65" s="57">
        <f>D64</f>
        <v>30</v>
      </c>
      <c r="E65" s="61"/>
      <c r="F65" s="57">
        <f>F64</f>
        <v>1711</v>
      </c>
      <c r="G65" s="102"/>
      <c r="H65" s="74">
        <f>H64</f>
        <v>0</v>
      </c>
      <c r="I65" s="60"/>
      <c r="J65" s="129"/>
    </row>
    <row r="66" spans="1:10" s="125" customFormat="1" ht="174.75" customHeight="1" hidden="1">
      <c r="A66" s="27" t="s">
        <v>20</v>
      </c>
      <c r="B66" s="28">
        <f>SUM(B64:B65)</f>
        <v>177155.4</v>
      </c>
      <c r="C66" s="94"/>
      <c r="D66" s="61"/>
      <c r="E66" s="57"/>
      <c r="F66" s="61"/>
      <c r="G66" s="102"/>
      <c r="H66" s="86"/>
      <c r="I66" s="86"/>
      <c r="J66" s="129"/>
    </row>
    <row r="67" spans="1:10" s="125" customFormat="1" ht="16.5" customHeight="1" hidden="1">
      <c r="A67" s="21" t="s">
        <v>37</v>
      </c>
      <c r="B67" s="22">
        <v>10999</v>
      </c>
      <c r="C67" s="40" t="s">
        <v>52</v>
      </c>
      <c r="D67" s="61"/>
      <c r="E67" s="57"/>
      <c r="F67" s="61"/>
      <c r="G67" s="102"/>
      <c r="H67" s="86"/>
      <c r="I67" s="86"/>
      <c r="J67" s="129"/>
    </row>
    <row r="68" spans="1:10" s="122" customFormat="1" ht="17.25" customHeight="1" hidden="1">
      <c r="A68" s="21" t="s">
        <v>37</v>
      </c>
      <c r="B68" s="22">
        <v>1219</v>
      </c>
      <c r="C68" s="40" t="s">
        <v>43</v>
      </c>
      <c r="D68" s="45"/>
      <c r="E68" s="57"/>
      <c r="F68" s="45"/>
      <c r="G68" s="97"/>
      <c r="H68" s="78"/>
      <c r="I68" s="19"/>
      <c r="J68" s="73"/>
    </row>
    <row r="69" spans="1:10" s="125" customFormat="1" ht="16.5" customHeight="1" hidden="1">
      <c r="A69" s="27" t="s">
        <v>20</v>
      </c>
      <c r="B69" s="28">
        <f>SUM(B67:B68)</f>
        <v>12218</v>
      </c>
      <c r="C69" s="94"/>
      <c r="D69" s="61"/>
      <c r="E69" s="57"/>
      <c r="F69" s="61"/>
      <c r="G69" s="102"/>
      <c r="H69" s="86"/>
      <c r="I69" s="86"/>
      <c r="J69" s="129"/>
    </row>
    <row r="70" spans="1:10" s="125" customFormat="1" ht="16.5" customHeight="1" hidden="1">
      <c r="A70" s="21" t="s">
        <v>30</v>
      </c>
      <c r="B70" s="63">
        <v>3133</v>
      </c>
      <c r="C70" s="40" t="s">
        <v>44</v>
      </c>
      <c r="D70" s="45"/>
      <c r="E70" s="57"/>
      <c r="F70" s="61"/>
      <c r="G70" s="102"/>
      <c r="H70" s="86"/>
      <c r="I70" s="86"/>
      <c r="J70" s="129"/>
    </row>
    <row r="71" spans="1:10" s="125" customFormat="1" ht="18.75" customHeight="1" hidden="1">
      <c r="A71" s="21" t="s">
        <v>30</v>
      </c>
      <c r="B71" s="63">
        <v>120</v>
      </c>
      <c r="C71" s="40" t="s">
        <v>36</v>
      </c>
      <c r="D71" s="45"/>
      <c r="E71" s="57"/>
      <c r="F71" s="61"/>
      <c r="G71" s="102"/>
      <c r="H71" s="86"/>
      <c r="I71" s="86"/>
      <c r="J71" s="129"/>
    </row>
    <row r="72" spans="1:10" s="125" customFormat="1" ht="18.75" customHeight="1" hidden="1">
      <c r="A72" s="21" t="s">
        <v>30</v>
      </c>
      <c r="B72" s="63">
        <v>210</v>
      </c>
      <c r="C72" s="40" t="s">
        <v>36</v>
      </c>
      <c r="D72" s="45"/>
      <c r="E72" s="57"/>
      <c r="F72" s="61"/>
      <c r="G72" s="102"/>
      <c r="H72" s="86"/>
      <c r="I72" s="86"/>
      <c r="J72" s="129"/>
    </row>
    <row r="73" spans="1:10" s="125" customFormat="1" ht="16.5" customHeight="1" hidden="1">
      <c r="A73" s="27" t="s">
        <v>20</v>
      </c>
      <c r="B73" s="64">
        <f>SUM(B70:B72)</f>
        <v>3463</v>
      </c>
      <c r="C73" s="94"/>
      <c r="D73" s="61"/>
      <c r="E73" s="57"/>
      <c r="F73" s="61"/>
      <c r="G73" s="102"/>
      <c r="H73" s="86"/>
      <c r="I73" s="86"/>
      <c r="J73" s="129"/>
    </row>
    <row r="74" spans="1:10" s="125" customFormat="1" ht="17.25" customHeight="1" hidden="1">
      <c r="A74" s="21" t="s">
        <v>31</v>
      </c>
      <c r="B74" s="65">
        <v>60</v>
      </c>
      <c r="C74" s="40" t="s">
        <v>48</v>
      </c>
      <c r="D74" s="65">
        <v>149639.87</v>
      </c>
      <c r="E74" s="62" t="s">
        <v>47</v>
      </c>
      <c r="F74" s="59"/>
      <c r="G74" s="102"/>
      <c r="H74" s="21"/>
      <c r="I74" s="86"/>
      <c r="J74" s="129"/>
    </row>
    <row r="75" spans="1:10" s="125" customFormat="1" ht="17.25" customHeight="1" hidden="1">
      <c r="A75" s="21" t="s">
        <v>31</v>
      </c>
      <c r="B75" s="65">
        <v>3951.33</v>
      </c>
      <c r="C75" s="40" t="s">
        <v>51</v>
      </c>
      <c r="D75" s="65"/>
      <c r="E75" s="62"/>
      <c r="F75" s="59"/>
      <c r="G75" s="72"/>
      <c r="H75" s="21"/>
      <c r="I75" s="86"/>
      <c r="J75" s="129"/>
    </row>
    <row r="76" spans="1:10" s="122" customFormat="1" ht="55.5" customHeight="1">
      <c r="A76" s="21" t="s">
        <v>37</v>
      </c>
      <c r="B76" s="22">
        <f>68973.1+6350+14600+4395+181+688+15260.5+90</f>
        <v>110537.6</v>
      </c>
      <c r="C76" s="40" t="s">
        <v>166</v>
      </c>
      <c r="D76" s="45">
        <v>30</v>
      </c>
      <c r="E76" s="59" t="s">
        <v>147</v>
      </c>
      <c r="F76" s="45">
        <v>1102</v>
      </c>
      <c r="G76" s="97" t="s">
        <v>110</v>
      </c>
      <c r="H76" s="78"/>
      <c r="I76" s="19"/>
      <c r="J76" s="73"/>
    </row>
    <row r="77" spans="1:10" s="125" customFormat="1" ht="17.25" customHeight="1">
      <c r="A77" s="27" t="s">
        <v>20</v>
      </c>
      <c r="B77" s="28">
        <f>SUM(B76:B76)</f>
        <v>110537.6</v>
      </c>
      <c r="C77" s="96"/>
      <c r="D77" s="57">
        <f>D76</f>
        <v>30</v>
      </c>
      <c r="E77" s="61"/>
      <c r="F77" s="57">
        <f>F76</f>
        <v>1102</v>
      </c>
      <c r="G77" s="102"/>
      <c r="H77" s="86"/>
      <c r="I77" s="60"/>
      <c r="J77" s="129"/>
    </row>
    <row r="78" spans="1:10" s="122" customFormat="1" ht="52.5" customHeight="1">
      <c r="A78" s="21" t="s">
        <v>30</v>
      </c>
      <c r="B78" s="22">
        <f>25303.96+54310.84+4420</f>
        <v>84034.79999999999</v>
      </c>
      <c r="C78" s="40" t="s">
        <v>136</v>
      </c>
      <c r="D78" s="45">
        <v>80</v>
      </c>
      <c r="E78" s="59" t="s">
        <v>147</v>
      </c>
      <c r="F78" s="45">
        <v>435</v>
      </c>
      <c r="G78" s="97" t="s">
        <v>110</v>
      </c>
      <c r="H78" s="78"/>
      <c r="I78" s="19"/>
      <c r="J78" s="73"/>
    </row>
    <row r="79" spans="1:10" s="125" customFormat="1" ht="17.25" customHeight="1">
      <c r="A79" s="27" t="s">
        <v>20</v>
      </c>
      <c r="B79" s="28">
        <f>SUM(B78:B78)</f>
        <v>84034.79999999999</v>
      </c>
      <c r="C79" s="96"/>
      <c r="D79" s="57">
        <f>D78</f>
        <v>80</v>
      </c>
      <c r="E79" s="61"/>
      <c r="F79" s="57">
        <f>F78</f>
        <v>435</v>
      </c>
      <c r="G79" s="102"/>
      <c r="H79" s="86"/>
      <c r="I79" s="60"/>
      <c r="J79" s="129"/>
    </row>
    <row r="80" spans="1:10" s="122" customFormat="1" ht="54.75" customHeight="1">
      <c r="A80" s="21" t="s">
        <v>57</v>
      </c>
      <c r="B80" s="22">
        <f>734+138.97+312</f>
        <v>1184.97</v>
      </c>
      <c r="C80" s="40" t="s">
        <v>98</v>
      </c>
      <c r="D80" s="45">
        <v>30</v>
      </c>
      <c r="E80" s="59" t="s">
        <v>147</v>
      </c>
      <c r="F80" s="45">
        <v>580.5</v>
      </c>
      <c r="G80" s="97" t="s">
        <v>110</v>
      </c>
      <c r="H80" s="78"/>
      <c r="I80" s="19"/>
      <c r="J80" s="73"/>
    </row>
    <row r="81" spans="1:10" s="125" customFormat="1" ht="17.25" customHeight="1">
      <c r="A81" s="27" t="s">
        <v>20</v>
      </c>
      <c r="B81" s="28">
        <f>SUM(B80:B80)</f>
        <v>1184.97</v>
      </c>
      <c r="C81" s="96"/>
      <c r="D81" s="57">
        <f>D80</f>
        <v>30</v>
      </c>
      <c r="E81" s="61"/>
      <c r="F81" s="57">
        <f>F80</f>
        <v>580.5</v>
      </c>
      <c r="G81" s="102"/>
      <c r="H81" s="86"/>
      <c r="I81" s="60"/>
      <c r="J81" s="129"/>
    </row>
    <row r="82" spans="1:10" s="122" customFormat="1" ht="53.25" customHeight="1">
      <c r="A82" s="21" t="s">
        <v>31</v>
      </c>
      <c r="B82" s="22">
        <f>48481.32+1116+463.5+4611+3640.2+9894.23+11220.49-471+7308+5465+6844+2330.4</f>
        <v>100903.14</v>
      </c>
      <c r="C82" s="40" t="s">
        <v>167</v>
      </c>
      <c r="D82" s="45">
        <f>9986+7997</f>
        <v>17983</v>
      </c>
      <c r="E82" s="59" t="s">
        <v>121</v>
      </c>
      <c r="F82" s="45">
        <v>1189</v>
      </c>
      <c r="G82" s="97" t="s">
        <v>110</v>
      </c>
      <c r="H82" s="78"/>
      <c r="I82" s="19"/>
      <c r="J82" s="73"/>
    </row>
    <row r="83" spans="1:10" s="122" customFormat="1" ht="53.25" customHeight="1">
      <c r="A83" s="21" t="s">
        <v>31</v>
      </c>
      <c r="B83" s="22"/>
      <c r="C83" s="40" t="s">
        <v>84</v>
      </c>
      <c r="D83" s="45">
        <v>471</v>
      </c>
      <c r="E83" s="59" t="s">
        <v>153</v>
      </c>
      <c r="F83" s="45"/>
      <c r="G83" s="97"/>
      <c r="H83" s="78"/>
      <c r="I83" s="19"/>
      <c r="J83" s="73"/>
    </row>
    <row r="84" spans="1:10" s="122" customFormat="1" ht="53.25" customHeight="1">
      <c r="A84" s="21" t="s">
        <v>31</v>
      </c>
      <c r="B84" s="22"/>
      <c r="C84" s="40" t="s">
        <v>84</v>
      </c>
      <c r="D84" s="45">
        <v>80</v>
      </c>
      <c r="E84" s="59" t="s">
        <v>147</v>
      </c>
      <c r="F84" s="45"/>
      <c r="G84" s="97"/>
      <c r="H84" s="78"/>
      <c r="I84" s="19"/>
      <c r="J84" s="73"/>
    </row>
    <row r="85" spans="1:10" s="125" customFormat="1" ht="17.25" customHeight="1">
      <c r="A85" s="27" t="s">
        <v>20</v>
      </c>
      <c r="B85" s="28">
        <f>SUM(B82:B84)</f>
        <v>100903.14</v>
      </c>
      <c r="C85" s="96"/>
      <c r="D85" s="61">
        <f>SUM(D82:D84)</f>
        <v>18534</v>
      </c>
      <c r="E85" s="61"/>
      <c r="F85" s="57">
        <f>F84</f>
        <v>0</v>
      </c>
      <c r="G85" s="102"/>
      <c r="H85" s="86"/>
      <c r="I85" s="60"/>
      <c r="J85" s="129"/>
    </row>
    <row r="86" spans="1:10" s="125" customFormat="1" ht="81.75" customHeight="1">
      <c r="A86" s="448" t="s">
        <v>58</v>
      </c>
      <c r="B86" s="28"/>
      <c r="C86" s="96"/>
      <c r="D86" s="139"/>
      <c r="E86" s="61"/>
      <c r="F86" s="59">
        <v>754</v>
      </c>
      <c r="G86" s="97" t="s">
        <v>110</v>
      </c>
      <c r="H86" s="86"/>
      <c r="I86" s="60"/>
      <c r="J86" s="129"/>
    </row>
    <row r="87" spans="1:10" s="125" customFormat="1" ht="100.5" customHeight="1">
      <c r="A87" s="449"/>
      <c r="B87" s="65"/>
      <c r="C87" s="40"/>
      <c r="D87" s="65">
        <v>30</v>
      </c>
      <c r="E87" s="59" t="s">
        <v>147</v>
      </c>
      <c r="F87" s="59">
        <v>7040</v>
      </c>
      <c r="G87" s="97" t="s">
        <v>72</v>
      </c>
      <c r="H87" s="21"/>
      <c r="I87" s="86"/>
      <c r="J87" s="129"/>
    </row>
    <row r="88" spans="1:10" s="125" customFormat="1" ht="16.5" customHeight="1">
      <c r="A88" s="27" t="s">
        <v>20</v>
      </c>
      <c r="B88" s="66">
        <f>B87</f>
        <v>0</v>
      </c>
      <c r="C88" s="94"/>
      <c r="D88" s="66">
        <f>D87</f>
        <v>30</v>
      </c>
      <c r="E88" s="57"/>
      <c r="F88" s="61">
        <f>F87+F86</f>
        <v>7794</v>
      </c>
      <c r="G88" s="102"/>
      <c r="H88" s="86"/>
      <c r="I88" s="86"/>
      <c r="J88" s="129"/>
    </row>
    <row r="89" spans="1:10" s="125" customFormat="1" ht="38.25" customHeight="1">
      <c r="A89" s="21" t="s">
        <v>33</v>
      </c>
      <c r="B89" s="65">
        <v>13730</v>
      </c>
      <c r="C89" s="40" t="s">
        <v>91</v>
      </c>
      <c r="D89" s="131">
        <v>206699.6</v>
      </c>
      <c r="E89" s="44" t="s">
        <v>100</v>
      </c>
      <c r="F89" s="59">
        <v>232</v>
      </c>
      <c r="G89" s="97" t="s">
        <v>110</v>
      </c>
      <c r="H89" s="21"/>
      <c r="I89" s="86"/>
      <c r="J89" s="129"/>
    </row>
    <row r="90" spans="1:10" s="125" customFormat="1" ht="38.25" customHeight="1">
      <c r="A90" s="21" t="s">
        <v>33</v>
      </c>
      <c r="B90" s="65"/>
      <c r="C90" s="40"/>
      <c r="D90" s="131">
        <v>30</v>
      </c>
      <c r="E90" s="59" t="s">
        <v>147</v>
      </c>
      <c r="F90" s="59"/>
      <c r="G90" s="97"/>
      <c r="H90" s="21"/>
      <c r="I90" s="86"/>
      <c r="J90" s="129"/>
    </row>
    <row r="91" spans="1:10" s="125" customFormat="1" ht="24" customHeight="1">
      <c r="A91" s="27" t="s">
        <v>20</v>
      </c>
      <c r="B91" s="66">
        <f>SUM(B89)</f>
        <v>13730</v>
      </c>
      <c r="C91" s="94"/>
      <c r="D91" s="141">
        <f>SUM(D89:D90)</f>
        <v>206729.6</v>
      </c>
      <c r="E91" s="57"/>
      <c r="F91" s="61">
        <f>F90</f>
        <v>0</v>
      </c>
      <c r="G91" s="102"/>
      <c r="H91" s="86"/>
      <c r="I91" s="86"/>
      <c r="J91" s="129"/>
    </row>
    <row r="92" spans="1:10" s="125" customFormat="1" ht="52.5" customHeight="1">
      <c r="A92" s="448" t="s">
        <v>45</v>
      </c>
      <c r="B92" s="66"/>
      <c r="C92" s="94"/>
      <c r="D92" s="132"/>
      <c r="E92" s="57"/>
      <c r="F92" s="45">
        <v>1116.5</v>
      </c>
      <c r="G92" s="97" t="s">
        <v>110</v>
      </c>
      <c r="H92" s="86"/>
      <c r="I92" s="86"/>
      <c r="J92" s="129"/>
    </row>
    <row r="93" spans="1:10" s="125" customFormat="1" ht="98.25" customHeight="1">
      <c r="A93" s="449"/>
      <c r="B93" s="63">
        <v>450</v>
      </c>
      <c r="C93" s="40" t="s">
        <v>83</v>
      </c>
      <c r="D93" s="63">
        <v>80</v>
      </c>
      <c r="E93" s="59" t="s">
        <v>147</v>
      </c>
      <c r="F93" s="59">
        <f>15920+1080+2616.7</f>
        <v>19616.7</v>
      </c>
      <c r="G93" s="97" t="s">
        <v>73</v>
      </c>
      <c r="H93" s="86"/>
      <c r="I93" s="86"/>
      <c r="J93" s="129"/>
    </row>
    <row r="94" spans="1:10" s="125" customFormat="1" ht="16.5" customHeight="1">
      <c r="A94" s="27" t="s">
        <v>20</v>
      </c>
      <c r="B94" s="64">
        <f>B93</f>
        <v>450</v>
      </c>
      <c r="C94" s="94"/>
      <c r="D94" s="61">
        <f>D93</f>
        <v>80</v>
      </c>
      <c r="E94" s="57"/>
      <c r="F94" s="61">
        <f>F93+F92</f>
        <v>20733.2</v>
      </c>
      <c r="G94" s="102"/>
      <c r="H94" s="86"/>
      <c r="I94" s="86"/>
      <c r="J94" s="129"/>
    </row>
    <row r="95" spans="1:10" s="125" customFormat="1" ht="51" customHeight="1">
      <c r="A95" s="21" t="s">
        <v>59</v>
      </c>
      <c r="B95" s="63">
        <f>6220+50+12150+320</f>
        <v>18740</v>
      </c>
      <c r="C95" s="40" t="s">
        <v>168</v>
      </c>
      <c r="D95" s="63">
        <v>80</v>
      </c>
      <c r="E95" s="59" t="s">
        <v>147</v>
      </c>
      <c r="F95" s="59">
        <v>1160</v>
      </c>
      <c r="G95" s="97" t="s">
        <v>110</v>
      </c>
      <c r="H95" s="86"/>
      <c r="I95" s="86"/>
      <c r="J95" s="129"/>
    </row>
    <row r="96" spans="1:10" s="125" customFormat="1" ht="16.5" customHeight="1">
      <c r="A96" s="27" t="s">
        <v>20</v>
      </c>
      <c r="B96" s="64">
        <f>B95</f>
        <v>18740</v>
      </c>
      <c r="C96" s="94"/>
      <c r="D96" s="61">
        <f>D95</f>
        <v>80</v>
      </c>
      <c r="E96" s="57"/>
      <c r="F96" s="61">
        <f>F95</f>
        <v>1160</v>
      </c>
      <c r="G96" s="102"/>
      <c r="H96" s="86"/>
      <c r="I96" s="86"/>
      <c r="J96" s="129"/>
    </row>
    <row r="97" spans="1:10" s="125" customFormat="1" ht="53.25" customHeight="1">
      <c r="A97" s="21" t="s">
        <v>50</v>
      </c>
      <c r="B97" s="63"/>
      <c r="C97" s="40"/>
      <c r="D97" s="63">
        <v>30</v>
      </c>
      <c r="E97" s="59" t="s">
        <v>147</v>
      </c>
      <c r="F97" s="59">
        <v>43.5</v>
      </c>
      <c r="G97" s="97" t="s">
        <v>110</v>
      </c>
      <c r="H97" s="86"/>
      <c r="I97" s="86"/>
      <c r="J97" s="129"/>
    </row>
    <row r="98" spans="1:10" s="125" customFormat="1" ht="16.5" customHeight="1">
      <c r="A98" s="27" t="s">
        <v>20</v>
      </c>
      <c r="B98" s="64">
        <f>SUM(B97)</f>
        <v>0</v>
      </c>
      <c r="C98" s="94"/>
      <c r="D98" s="61">
        <f>D97</f>
        <v>30</v>
      </c>
      <c r="E98" s="57"/>
      <c r="F98" s="61">
        <f>F97</f>
        <v>43.5</v>
      </c>
      <c r="G98" s="102"/>
      <c r="H98" s="86"/>
      <c r="I98" s="86"/>
      <c r="J98" s="129"/>
    </row>
    <row r="99" spans="1:10" s="125" customFormat="1" ht="53.25" customHeight="1">
      <c r="A99" s="21" t="s">
        <v>60</v>
      </c>
      <c r="B99" s="63"/>
      <c r="C99" s="40" t="s">
        <v>84</v>
      </c>
      <c r="D99" s="63">
        <v>30</v>
      </c>
      <c r="E99" s="59" t="s">
        <v>147</v>
      </c>
      <c r="F99" s="59"/>
      <c r="G99" s="97"/>
      <c r="H99" s="86"/>
      <c r="I99" s="86"/>
      <c r="J99" s="129"/>
    </row>
    <row r="100" spans="1:10" s="125" customFormat="1" ht="53.25" customHeight="1">
      <c r="A100" s="21" t="s">
        <v>60</v>
      </c>
      <c r="B100" s="63">
        <f>1910+2376+1010+8529+880</f>
        <v>14705</v>
      </c>
      <c r="C100" s="40" t="s">
        <v>169</v>
      </c>
      <c r="D100" s="63">
        <v>15998</v>
      </c>
      <c r="E100" s="44" t="s">
        <v>140</v>
      </c>
      <c r="F100" s="59">
        <v>609</v>
      </c>
      <c r="G100" s="97" t="s">
        <v>110</v>
      </c>
      <c r="H100" s="86"/>
      <c r="I100" s="86"/>
      <c r="J100" s="129"/>
    </row>
    <row r="101" spans="1:10" s="125" customFormat="1" ht="16.5" customHeight="1">
      <c r="A101" s="27" t="s">
        <v>20</v>
      </c>
      <c r="B101" s="64">
        <f>SUM(B100)</f>
        <v>14705</v>
      </c>
      <c r="C101" s="94"/>
      <c r="D101" s="61">
        <f>SUM(D99:D100)</f>
        <v>16028</v>
      </c>
      <c r="E101" s="57"/>
      <c r="F101" s="61">
        <f>F100</f>
        <v>609</v>
      </c>
      <c r="G101" s="102"/>
      <c r="H101" s="86"/>
      <c r="I101" s="86"/>
      <c r="J101" s="129"/>
    </row>
    <row r="102" spans="1:10" s="125" customFormat="1" ht="55.5" customHeight="1">
      <c r="A102" s="21" t="s">
        <v>61</v>
      </c>
      <c r="B102" s="63">
        <v>24202.67</v>
      </c>
      <c r="C102" s="40" t="s">
        <v>137</v>
      </c>
      <c r="D102" s="63">
        <v>30</v>
      </c>
      <c r="E102" s="59" t="s">
        <v>147</v>
      </c>
      <c r="F102" s="59">
        <v>580</v>
      </c>
      <c r="G102" s="97" t="s">
        <v>110</v>
      </c>
      <c r="H102" s="86"/>
      <c r="I102" s="86"/>
      <c r="J102" s="129"/>
    </row>
    <row r="103" spans="1:10" s="125" customFormat="1" ht="16.5" customHeight="1">
      <c r="A103" s="27" t="s">
        <v>20</v>
      </c>
      <c r="B103" s="64">
        <f>B102</f>
        <v>24202.67</v>
      </c>
      <c r="C103" s="94"/>
      <c r="D103" s="61">
        <f>D102</f>
        <v>30</v>
      </c>
      <c r="E103" s="57"/>
      <c r="F103" s="61">
        <f>F102</f>
        <v>580</v>
      </c>
      <c r="G103" s="102"/>
      <c r="H103" s="86"/>
      <c r="I103" s="86"/>
      <c r="J103" s="129"/>
    </row>
    <row r="104" spans="1:10" s="125" customFormat="1" ht="55.5" customHeight="1">
      <c r="A104" s="448" t="s">
        <v>62</v>
      </c>
      <c r="B104" s="64"/>
      <c r="C104" s="94"/>
      <c r="D104" s="142">
        <v>30</v>
      </c>
      <c r="E104" s="59" t="s">
        <v>147</v>
      </c>
      <c r="F104" s="61">
        <v>1200</v>
      </c>
      <c r="G104" s="97" t="s">
        <v>109</v>
      </c>
      <c r="H104" s="86"/>
      <c r="I104" s="86"/>
      <c r="J104" s="129"/>
    </row>
    <row r="105" spans="1:10" s="125" customFormat="1" ht="74.25" customHeight="1">
      <c r="A105" s="449"/>
      <c r="B105" s="63">
        <f>33715+16900+31300+8000+2000</f>
        <v>91915</v>
      </c>
      <c r="C105" s="40" t="s">
        <v>105</v>
      </c>
      <c r="D105" s="63">
        <v>595000</v>
      </c>
      <c r="E105" s="44" t="s">
        <v>101</v>
      </c>
      <c r="F105" s="59">
        <v>1464.5</v>
      </c>
      <c r="G105" s="97" t="s">
        <v>110</v>
      </c>
      <c r="H105" s="86"/>
      <c r="I105" s="86"/>
      <c r="J105" s="129"/>
    </row>
    <row r="106" spans="1:10" s="125" customFormat="1" ht="16.5" customHeight="1">
      <c r="A106" s="27" t="s">
        <v>20</v>
      </c>
      <c r="B106" s="64">
        <f>SUM(B105)</f>
        <v>91915</v>
      </c>
      <c r="C106" s="94"/>
      <c r="D106" s="64">
        <f>SUM(D104:D105)</f>
        <v>595030</v>
      </c>
      <c r="E106" s="57"/>
      <c r="F106" s="61">
        <f>F105+F104</f>
        <v>2664.5</v>
      </c>
      <c r="G106" s="102"/>
      <c r="H106" s="86"/>
      <c r="I106" s="86"/>
      <c r="J106" s="129"/>
    </row>
    <row r="107" spans="1:10" s="125" customFormat="1" ht="52.5" customHeight="1">
      <c r="A107" s="21" t="s">
        <v>46</v>
      </c>
      <c r="B107" s="63">
        <v>10626</v>
      </c>
      <c r="C107" s="40" t="s">
        <v>88</v>
      </c>
      <c r="D107" s="63">
        <v>30</v>
      </c>
      <c r="E107" s="59" t="s">
        <v>147</v>
      </c>
      <c r="F107" s="59">
        <v>797.5</v>
      </c>
      <c r="G107" s="97" t="s">
        <v>110</v>
      </c>
      <c r="H107" s="86"/>
      <c r="I107" s="86"/>
      <c r="J107" s="129"/>
    </row>
    <row r="108" spans="1:10" s="125" customFormat="1" ht="16.5" customHeight="1">
      <c r="A108" s="27" t="s">
        <v>20</v>
      </c>
      <c r="B108" s="64">
        <f>B107</f>
        <v>10626</v>
      </c>
      <c r="C108" s="94"/>
      <c r="D108" s="61">
        <f>D107</f>
        <v>30</v>
      </c>
      <c r="E108" s="57"/>
      <c r="F108" s="61">
        <f>F107</f>
        <v>797.5</v>
      </c>
      <c r="G108" s="102"/>
      <c r="H108" s="86"/>
      <c r="I108" s="86"/>
      <c r="J108" s="129"/>
    </row>
    <row r="109" spans="1:10" s="125" customFormat="1" ht="54.75" customHeight="1">
      <c r="A109" s="21" t="s">
        <v>63</v>
      </c>
      <c r="B109" s="63"/>
      <c r="C109" s="40" t="s">
        <v>84</v>
      </c>
      <c r="D109" s="63">
        <v>30</v>
      </c>
      <c r="E109" s="59" t="s">
        <v>147</v>
      </c>
      <c r="F109" s="59"/>
      <c r="G109" s="97"/>
      <c r="H109" s="86"/>
      <c r="I109" s="86"/>
      <c r="J109" s="129"/>
    </row>
    <row r="110" spans="1:10" s="125" customFormat="1" ht="54.75" customHeight="1">
      <c r="A110" s="21" t="s">
        <v>63</v>
      </c>
      <c r="B110" s="63"/>
      <c r="C110" s="40" t="s">
        <v>150</v>
      </c>
      <c r="D110" s="63">
        <v>9823</v>
      </c>
      <c r="E110" s="44" t="s">
        <v>140</v>
      </c>
      <c r="F110" s="59"/>
      <c r="G110" s="97"/>
      <c r="H110" s="86"/>
      <c r="I110" s="86"/>
      <c r="J110" s="129"/>
    </row>
    <row r="111" spans="1:10" s="125" customFormat="1" ht="54.75" customHeight="1">
      <c r="A111" s="21" t="s">
        <v>63</v>
      </c>
      <c r="B111" s="63">
        <f>59077.12+4767.19+11654</f>
        <v>75498.31</v>
      </c>
      <c r="C111" s="40" t="s">
        <v>92</v>
      </c>
      <c r="D111" s="63">
        <v>686945.25</v>
      </c>
      <c r="E111" s="44" t="s">
        <v>101</v>
      </c>
      <c r="F111" s="59">
        <v>826.5</v>
      </c>
      <c r="G111" s="97" t="s">
        <v>110</v>
      </c>
      <c r="H111" s="86"/>
      <c r="I111" s="86"/>
      <c r="J111" s="129"/>
    </row>
    <row r="112" spans="1:10" s="125" customFormat="1" ht="16.5" customHeight="1">
      <c r="A112" s="27" t="s">
        <v>20</v>
      </c>
      <c r="B112" s="64">
        <f>B111</f>
        <v>75498.31</v>
      </c>
      <c r="C112" s="94"/>
      <c r="D112" s="64">
        <f>SUM(D109:D111)</f>
        <v>696798.25</v>
      </c>
      <c r="E112" s="57"/>
      <c r="F112" s="61">
        <f>F111</f>
        <v>826.5</v>
      </c>
      <c r="G112" s="102"/>
      <c r="H112" s="86"/>
      <c r="I112" s="86"/>
      <c r="J112" s="129"/>
    </row>
    <row r="113" spans="1:10" s="125" customFormat="1" ht="59.25" customHeight="1">
      <c r="A113" s="26" t="s">
        <v>111</v>
      </c>
      <c r="B113" s="64"/>
      <c r="C113" s="94"/>
      <c r="D113" s="140"/>
      <c r="E113" s="57"/>
      <c r="F113" s="61"/>
      <c r="G113" s="102"/>
      <c r="H113" s="45">
        <v>28000</v>
      </c>
      <c r="I113" s="97" t="s">
        <v>112</v>
      </c>
      <c r="J113" s="129"/>
    </row>
    <row r="114" spans="1:10" s="125" customFormat="1" ht="16.5" customHeight="1">
      <c r="A114" s="27" t="s">
        <v>20</v>
      </c>
      <c r="B114" s="64"/>
      <c r="C114" s="94"/>
      <c r="D114" s="140"/>
      <c r="E114" s="57"/>
      <c r="F114" s="61"/>
      <c r="G114" s="102"/>
      <c r="H114" s="74">
        <f>H113</f>
        <v>28000</v>
      </c>
      <c r="I114" s="86"/>
      <c r="J114" s="129"/>
    </row>
    <row r="115" spans="1:10" s="125" customFormat="1" ht="43.5" customHeight="1">
      <c r="A115" s="21" t="s">
        <v>53</v>
      </c>
      <c r="B115" s="63"/>
      <c r="C115" s="40"/>
      <c r="D115" s="63"/>
      <c r="E115" s="62"/>
      <c r="F115" s="59"/>
      <c r="G115" s="102"/>
      <c r="H115" s="86"/>
      <c r="I115" s="86"/>
      <c r="J115" s="129"/>
    </row>
    <row r="116" spans="1:10" s="125" customFormat="1" ht="16.5" customHeight="1">
      <c r="A116" s="27" t="s">
        <v>20</v>
      </c>
      <c r="B116" s="64">
        <f>B115</f>
        <v>0</v>
      </c>
      <c r="C116" s="94"/>
      <c r="D116" s="60"/>
      <c r="E116" s="57"/>
      <c r="F116" s="61"/>
      <c r="G116" s="102"/>
      <c r="H116" s="86"/>
      <c r="I116" s="86"/>
      <c r="J116" s="129"/>
    </row>
    <row r="117" spans="1:10" s="125" customFormat="1" ht="37.5" customHeight="1">
      <c r="A117" s="21" t="s">
        <v>54</v>
      </c>
      <c r="B117" s="63">
        <f>1469.62+120</f>
        <v>1589.62</v>
      </c>
      <c r="C117" s="40" t="s">
        <v>151</v>
      </c>
      <c r="D117" s="63"/>
      <c r="E117" s="62"/>
      <c r="F117" s="59"/>
      <c r="G117" s="103"/>
      <c r="H117" s="86"/>
      <c r="I117" s="86"/>
      <c r="J117" s="129"/>
    </row>
    <row r="118" spans="1:10" s="125" customFormat="1" ht="16.5" customHeight="1">
      <c r="A118" s="27" t="s">
        <v>20</v>
      </c>
      <c r="B118" s="64">
        <f>B117</f>
        <v>1589.62</v>
      </c>
      <c r="C118" s="94"/>
      <c r="D118" s="60"/>
      <c r="E118" s="57"/>
      <c r="F118" s="61"/>
      <c r="G118" s="102"/>
      <c r="H118" s="86"/>
      <c r="I118" s="86"/>
      <c r="J118" s="129"/>
    </row>
    <row r="119" spans="1:10" s="125" customFormat="1" ht="33.75" customHeight="1">
      <c r="A119" s="21" t="s">
        <v>103</v>
      </c>
      <c r="B119" s="63">
        <v>2435</v>
      </c>
      <c r="C119" s="40" t="s">
        <v>104</v>
      </c>
      <c r="D119" s="63"/>
      <c r="E119" s="62"/>
      <c r="F119" s="59"/>
      <c r="G119" s="103"/>
      <c r="H119" s="86"/>
      <c r="I119" s="86"/>
      <c r="J119" s="129"/>
    </row>
    <row r="120" spans="1:10" s="125" customFormat="1" ht="16.5" customHeight="1">
      <c r="A120" s="27" t="s">
        <v>20</v>
      </c>
      <c r="B120" s="64">
        <f>B119</f>
        <v>2435</v>
      </c>
      <c r="C120" s="94"/>
      <c r="D120" s="60"/>
      <c r="E120" s="57"/>
      <c r="F120" s="61"/>
      <c r="G120" s="102"/>
      <c r="H120" s="86"/>
      <c r="I120" s="86"/>
      <c r="J120" s="129"/>
    </row>
    <row r="121" spans="1:10" s="125" customFormat="1" ht="19.5" customHeight="1">
      <c r="A121" s="21" t="s">
        <v>67</v>
      </c>
      <c r="B121" s="63"/>
      <c r="C121" s="40"/>
      <c r="D121" s="63"/>
      <c r="E121" s="62"/>
      <c r="F121" s="59"/>
      <c r="G121" s="103"/>
      <c r="H121" s="86"/>
      <c r="I121" s="86"/>
      <c r="J121" s="129"/>
    </row>
    <row r="122" spans="1:10" s="125" customFormat="1" ht="16.5" customHeight="1">
      <c r="A122" s="27" t="s">
        <v>20</v>
      </c>
      <c r="B122" s="64">
        <f>SUM(B121)</f>
        <v>0</v>
      </c>
      <c r="C122" s="94"/>
      <c r="D122" s="60"/>
      <c r="E122" s="57"/>
      <c r="F122" s="61"/>
      <c r="G122" s="102"/>
      <c r="H122" s="86"/>
      <c r="I122" s="86"/>
      <c r="J122" s="129"/>
    </row>
    <row r="123" spans="1:10" s="125" customFormat="1" ht="19.5" customHeight="1">
      <c r="A123" s="21" t="s">
        <v>64</v>
      </c>
      <c r="B123" s="63">
        <f>1003.8+30.87+43.81</f>
        <v>1078.4799999999998</v>
      </c>
      <c r="C123" s="40" t="s">
        <v>138</v>
      </c>
      <c r="D123" s="63"/>
      <c r="E123" s="62"/>
      <c r="F123" s="59"/>
      <c r="G123" s="103"/>
      <c r="H123" s="86"/>
      <c r="I123" s="86"/>
      <c r="J123" s="129"/>
    </row>
    <row r="124" spans="1:10" s="125" customFormat="1" ht="16.5" customHeight="1">
      <c r="A124" s="27" t="s">
        <v>20</v>
      </c>
      <c r="B124" s="64">
        <f>B123</f>
        <v>1078.4799999999998</v>
      </c>
      <c r="C124" s="94"/>
      <c r="D124" s="60"/>
      <c r="E124" s="57"/>
      <c r="F124" s="61"/>
      <c r="G124" s="102"/>
      <c r="H124" s="86"/>
      <c r="I124" s="86"/>
      <c r="J124" s="129"/>
    </row>
    <row r="125" spans="1:10" s="125" customFormat="1" ht="25.5" customHeight="1" thickBot="1">
      <c r="A125" s="27" t="s">
        <v>20</v>
      </c>
      <c r="B125" s="28"/>
      <c r="C125" s="94"/>
      <c r="D125" s="63"/>
      <c r="E125" s="57"/>
      <c r="F125" s="61"/>
      <c r="G125" s="102"/>
      <c r="H125" s="86"/>
      <c r="I125" s="86"/>
      <c r="J125" s="129"/>
    </row>
    <row r="126" spans="1:9" s="130" customFormat="1" ht="77.25" customHeight="1" thickBot="1">
      <c r="A126" s="67" t="s">
        <v>70</v>
      </c>
      <c r="B126" s="68">
        <f>SUM(B52+B54+B56+B59+B61+B63+B65+B77+B79+B81+B85+B88+B91+B94+B96+B98+B101+B103+B106+B108+B112+B116+B118+B120+B122+B124+B125)</f>
        <v>815125.6899999998</v>
      </c>
      <c r="C126" s="68"/>
      <c r="D126" s="68">
        <f>SUM(D56+D59+D61+D63+D65+D77+D79+D81+D85+D88+D91+D94+D96+D98+D101+D103+D106+D108+D112)</f>
        <v>1539869.85</v>
      </c>
      <c r="E126" s="68"/>
      <c r="F126" s="68">
        <f>F54+F59+F61+F63+F65+F77+F79+F88+F91+F94+F96+F98+F101+F103+F106+F108+F112+F125+F56+F85+F81</f>
        <v>41806.2</v>
      </c>
      <c r="G126" s="104"/>
      <c r="H126" s="68">
        <f>H114</f>
        <v>28000</v>
      </c>
      <c r="I126" s="68"/>
    </row>
    <row r="127" spans="1:9" s="130" customFormat="1" ht="93.75" customHeight="1" thickBot="1">
      <c r="A127" s="69" t="s">
        <v>69</v>
      </c>
      <c r="B127" s="70">
        <f>SUM(B50+B126)</f>
        <v>1523463.0099999998</v>
      </c>
      <c r="C127" s="70"/>
      <c r="D127" s="70">
        <f>D126+D50</f>
        <v>1539869.85</v>
      </c>
      <c r="E127" s="70"/>
      <c r="F127" s="70">
        <f>F50+F126</f>
        <v>51163.2</v>
      </c>
      <c r="G127" s="105"/>
      <c r="H127" s="70">
        <f>H50+H126</f>
        <v>28000</v>
      </c>
      <c r="I127" s="70"/>
    </row>
    <row r="128" spans="1:10" s="8" customFormat="1" ht="24" customHeight="1" thickBot="1">
      <c r="A128" s="108"/>
      <c r="B128" s="108"/>
      <c r="C128" s="108"/>
      <c r="D128" s="88"/>
      <c r="E128" s="89"/>
      <c r="F128" s="88"/>
      <c r="G128" s="88"/>
      <c r="H128" s="71"/>
      <c r="I128" s="71"/>
      <c r="J128" s="7"/>
    </row>
    <row r="129" spans="1:10" s="8" customFormat="1" ht="24" customHeight="1">
      <c r="A129" s="108" t="s">
        <v>155</v>
      </c>
      <c r="B129" s="89"/>
      <c r="C129" s="89"/>
      <c r="D129" s="88"/>
      <c r="E129" s="89"/>
      <c r="F129" s="88"/>
      <c r="G129" s="89" t="s">
        <v>95</v>
      </c>
      <c r="H129" s="71"/>
      <c r="I129" s="71"/>
      <c r="J129" s="7"/>
    </row>
    <row r="130" spans="1:10" ht="15.75" customHeight="1">
      <c r="A130" s="90"/>
      <c r="B130" s="90"/>
      <c r="C130" s="91"/>
      <c r="D130" s="92"/>
      <c r="E130" s="93"/>
      <c r="F130" s="90"/>
      <c r="G130" s="90"/>
      <c r="H130" s="73"/>
      <c r="I130" s="73"/>
      <c r="J130" s="2"/>
    </row>
    <row r="131" spans="1:10" ht="11.25" customHeight="1">
      <c r="A131" s="90"/>
      <c r="B131" s="90"/>
      <c r="C131" s="91"/>
      <c r="D131" s="92"/>
      <c r="E131" s="93"/>
      <c r="F131" s="90"/>
      <c r="G131" s="90"/>
      <c r="H131" s="73"/>
      <c r="I131" s="73"/>
      <c r="J131" s="2"/>
    </row>
    <row r="132" spans="1:10" ht="20.25" customHeight="1">
      <c r="A132" s="90" t="s">
        <v>35</v>
      </c>
      <c r="B132" s="90"/>
      <c r="C132" s="91"/>
      <c r="D132" s="92"/>
      <c r="E132" s="93"/>
      <c r="F132" s="90"/>
      <c r="G132" s="90" t="s">
        <v>106</v>
      </c>
      <c r="H132" s="73"/>
      <c r="I132" s="73"/>
      <c r="J132" s="2"/>
    </row>
    <row r="133" spans="1:10" ht="20.25" customHeight="1">
      <c r="A133" s="90"/>
      <c r="B133" s="90"/>
      <c r="C133" s="91"/>
      <c r="D133" s="92"/>
      <c r="E133" s="93"/>
      <c r="F133" s="90"/>
      <c r="G133" s="90"/>
      <c r="H133" s="73"/>
      <c r="I133" s="73"/>
      <c r="J133" s="2"/>
    </row>
    <row r="134" spans="1:10" ht="13.5" customHeight="1">
      <c r="A134" s="91" t="s">
        <v>113</v>
      </c>
      <c r="B134" s="92"/>
      <c r="C134" s="91"/>
      <c r="D134" s="92"/>
      <c r="E134" s="90"/>
      <c r="F134" s="92"/>
      <c r="G134" s="92"/>
      <c r="H134" s="73"/>
      <c r="I134" s="73"/>
      <c r="J134" s="2"/>
    </row>
    <row r="135" spans="1:10" ht="13.5" customHeight="1">
      <c r="A135" s="91" t="s">
        <v>65</v>
      </c>
      <c r="B135" s="92"/>
      <c r="C135" s="91"/>
      <c r="D135" s="92"/>
      <c r="E135" s="90"/>
      <c r="F135" s="92"/>
      <c r="G135" s="92"/>
      <c r="H135" s="73"/>
      <c r="I135" s="73"/>
      <c r="J135" s="2"/>
    </row>
    <row r="136" spans="1:10" ht="14.25" customHeight="1">
      <c r="A136" s="91"/>
      <c r="B136" s="92"/>
      <c r="C136" s="91"/>
      <c r="D136" s="92"/>
      <c r="E136" s="90"/>
      <c r="F136" s="92"/>
      <c r="G136" s="92"/>
      <c r="H136" s="73"/>
      <c r="I136" s="73"/>
      <c r="J136" s="2"/>
    </row>
    <row r="137" spans="1:10" ht="20.25" customHeight="1">
      <c r="A137" s="91" t="s">
        <v>25</v>
      </c>
      <c r="B137" s="92"/>
      <c r="C137" s="91"/>
      <c r="D137" s="92"/>
      <c r="E137" s="90"/>
      <c r="F137" s="92"/>
      <c r="G137" s="92"/>
      <c r="H137" s="73"/>
      <c r="I137" s="73"/>
      <c r="J137" s="2"/>
    </row>
    <row r="138" spans="1:10" ht="20.25" customHeight="1">
      <c r="A138" s="91" t="s">
        <v>107</v>
      </c>
      <c r="B138" s="92"/>
      <c r="C138" s="91"/>
      <c r="D138" s="92"/>
      <c r="E138" s="90"/>
      <c r="F138" s="92"/>
      <c r="G138" s="92"/>
      <c r="H138" s="73"/>
      <c r="I138" s="73"/>
      <c r="J138" s="2"/>
    </row>
    <row r="139" spans="1:10" ht="12" customHeight="1">
      <c r="A139" s="2"/>
      <c r="B139" s="2"/>
      <c r="C139" s="6"/>
      <c r="D139" s="2"/>
      <c r="E139" s="2"/>
      <c r="F139" s="2"/>
      <c r="G139" s="2"/>
      <c r="H139" s="2"/>
      <c r="I139" s="2"/>
      <c r="J139" s="2"/>
    </row>
    <row r="140" spans="1:10" ht="15">
      <c r="A140" s="2"/>
      <c r="B140" s="2"/>
      <c r="C140" s="6"/>
      <c r="D140" s="2"/>
      <c r="E140" s="2"/>
      <c r="F140" s="2"/>
      <c r="G140" s="2"/>
      <c r="H140" s="2"/>
      <c r="I140" s="2"/>
      <c r="J140" s="2"/>
    </row>
    <row r="141" spans="1:9" ht="15">
      <c r="A141" s="3"/>
      <c r="B141" s="2"/>
      <c r="C141" s="6"/>
      <c r="D141" s="2"/>
      <c r="E141" s="2"/>
      <c r="F141" s="2"/>
      <c r="G141" s="2"/>
      <c r="H141" s="2"/>
      <c r="I141" s="2"/>
    </row>
  </sheetData>
  <sheetProtection/>
  <mergeCells count="51">
    <mergeCell ref="A86:A87"/>
    <mergeCell ref="A28:A29"/>
    <mergeCell ref="B28:B29"/>
    <mergeCell ref="B23:B24"/>
    <mergeCell ref="C44:C45"/>
    <mergeCell ref="C46:C47"/>
    <mergeCell ref="C32:C33"/>
    <mergeCell ref="C53:C54"/>
    <mergeCell ref="C26:C27"/>
    <mergeCell ref="C17:C18"/>
    <mergeCell ref="C34:C35"/>
    <mergeCell ref="C36:C37"/>
    <mergeCell ref="C38:C39"/>
    <mergeCell ref="C21:C22"/>
    <mergeCell ref="C42:C43"/>
    <mergeCell ref="A104:A105"/>
    <mergeCell ref="C64:C65"/>
    <mergeCell ref="C48:C49"/>
    <mergeCell ref="C23:C25"/>
    <mergeCell ref="C51:C52"/>
    <mergeCell ref="C40:C41"/>
    <mergeCell ref="C28:C30"/>
    <mergeCell ref="A31:A32"/>
    <mergeCell ref="B31:B32"/>
    <mergeCell ref="A92:A93"/>
    <mergeCell ref="G1:I1"/>
    <mergeCell ref="G3:I3"/>
    <mergeCell ref="G4:I4"/>
    <mergeCell ref="A5:I5"/>
    <mergeCell ref="H2:I2"/>
    <mergeCell ref="C19:C20"/>
    <mergeCell ref="A12:A13"/>
    <mergeCell ref="B12:B13"/>
    <mergeCell ref="C12:C14"/>
    <mergeCell ref="C15:C16"/>
    <mergeCell ref="E23:E24"/>
    <mergeCell ref="A6:I6"/>
    <mergeCell ref="A7:I7"/>
    <mergeCell ref="F23:F24"/>
    <mergeCell ref="G23:G24"/>
    <mergeCell ref="H23:H24"/>
    <mergeCell ref="I23:I24"/>
    <mergeCell ref="A8:A11"/>
    <mergeCell ref="D23:D24"/>
    <mergeCell ref="A23:A24"/>
    <mergeCell ref="B8:E8"/>
    <mergeCell ref="F8:I8"/>
    <mergeCell ref="F9:G10"/>
    <mergeCell ref="H9:I10"/>
    <mergeCell ref="B9:C10"/>
    <mergeCell ref="D9:E10"/>
  </mergeCells>
  <printOptions/>
  <pageMargins left="0.7874015748031497" right="0.3937007874015748" top="0.3937007874015748" bottom="0.3937007874015748" header="0.31496062992125984" footer="0.31496062992125984"/>
  <pageSetup horizontalDpi="180" verticalDpi="180" orientation="portrait" paperSize="9" scale="38" r:id="rId1"/>
  <rowBreaks count="2" manualBreakCount="2">
    <brk id="89" max="7" man="1"/>
    <brk id="176" max="8" man="1"/>
  </rowBreaks>
</worksheet>
</file>

<file path=xl/worksheets/sheet15.xml><?xml version="1.0" encoding="utf-8"?>
<worksheet xmlns="http://schemas.openxmlformats.org/spreadsheetml/2006/main" xmlns:r="http://schemas.openxmlformats.org/officeDocument/2006/relationships">
  <dimension ref="A1:K140"/>
  <sheetViews>
    <sheetView showGridLines="0" zoomScale="75" zoomScaleNormal="75" zoomScaleSheetLayoutView="75" zoomScalePageLayoutView="0" workbookViewId="0" topLeftCell="A1">
      <selection activeCell="F131" sqref="F131"/>
    </sheetView>
  </sheetViews>
  <sheetFormatPr defaultColWidth="9.140625" defaultRowHeight="15"/>
  <cols>
    <col min="1" max="1" width="16.7109375" style="1" customWidth="1"/>
    <col min="2" max="2" width="21.7109375" style="1" customWidth="1"/>
    <col min="3" max="3" width="27.7109375" style="5" customWidth="1"/>
    <col min="4" max="4" width="14.57421875" style="1" customWidth="1"/>
    <col min="5" max="5" width="19.28125" style="1" customWidth="1"/>
    <col min="6" max="6" width="16.140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480" t="s">
        <v>75</v>
      </c>
      <c r="H1" s="480"/>
      <c r="I1" s="480"/>
    </row>
    <row r="2" spans="3:9" ht="18" customHeight="1">
      <c r="C2" s="1"/>
      <c r="G2" s="107"/>
      <c r="H2" s="480" t="s">
        <v>74</v>
      </c>
      <c r="I2" s="480"/>
    </row>
    <row r="3" spans="3:9" ht="16.5" customHeight="1">
      <c r="C3" s="1"/>
      <c r="G3" s="480" t="s">
        <v>76</v>
      </c>
      <c r="H3" s="480"/>
      <c r="I3" s="480"/>
    </row>
    <row r="4" spans="3:9" ht="15.75">
      <c r="C4" s="1"/>
      <c r="G4" s="363"/>
      <c r="H4" s="363"/>
      <c r="I4" s="363"/>
    </row>
    <row r="5" spans="1:9" ht="15.75">
      <c r="A5" s="364" t="s">
        <v>26</v>
      </c>
      <c r="B5" s="364"/>
      <c r="C5" s="364"/>
      <c r="D5" s="364"/>
      <c r="E5" s="364"/>
      <c r="F5" s="364"/>
      <c r="G5" s="364"/>
      <c r="H5" s="364"/>
      <c r="I5" s="364"/>
    </row>
    <row r="6" spans="1:9" ht="15.75">
      <c r="A6" s="364" t="s">
        <v>154</v>
      </c>
      <c r="B6" s="364"/>
      <c r="C6" s="364"/>
      <c r="D6" s="364"/>
      <c r="E6" s="364"/>
      <c r="F6" s="364"/>
      <c r="G6" s="364"/>
      <c r="H6" s="364"/>
      <c r="I6" s="364"/>
    </row>
    <row r="7" spans="1:9" s="4" customFormat="1" ht="15.75">
      <c r="A7" s="364" t="s">
        <v>27</v>
      </c>
      <c r="B7" s="364"/>
      <c r="C7" s="364"/>
      <c r="D7" s="364"/>
      <c r="E7" s="364"/>
      <c r="F7" s="364"/>
      <c r="G7" s="364"/>
      <c r="H7" s="364"/>
      <c r="I7" s="364"/>
    </row>
    <row r="8" spans="1:10" s="122" customFormat="1" ht="16.5" customHeight="1">
      <c r="A8" s="420" t="s">
        <v>28</v>
      </c>
      <c r="B8" s="420" t="s">
        <v>0</v>
      </c>
      <c r="C8" s="420"/>
      <c r="D8" s="420"/>
      <c r="E8" s="420"/>
      <c r="F8" s="458" t="s">
        <v>1</v>
      </c>
      <c r="G8" s="459"/>
      <c r="H8" s="459"/>
      <c r="I8" s="460"/>
      <c r="J8" s="121"/>
    </row>
    <row r="9" spans="1:10" s="122" customFormat="1" ht="13.5" customHeight="1">
      <c r="A9" s="420"/>
      <c r="B9" s="420" t="s">
        <v>2</v>
      </c>
      <c r="C9" s="420"/>
      <c r="D9" s="420" t="s">
        <v>23</v>
      </c>
      <c r="E9" s="420"/>
      <c r="F9" s="452" t="s">
        <v>2</v>
      </c>
      <c r="G9" s="461"/>
      <c r="H9" s="452" t="s">
        <v>3</v>
      </c>
      <c r="I9" s="453"/>
      <c r="J9" s="121"/>
    </row>
    <row r="10" spans="1:10" s="122" customFormat="1" ht="18" customHeight="1">
      <c r="A10" s="420"/>
      <c r="B10" s="420"/>
      <c r="C10" s="420"/>
      <c r="D10" s="420"/>
      <c r="E10" s="420"/>
      <c r="F10" s="462"/>
      <c r="G10" s="463"/>
      <c r="H10" s="454"/>
      <c r="I10" s="455"/>
      <c r="J10" s="121"/>
    </row>
    <row r="11" spans="1:10" s="122" customFormat="1" ht="67.5" customHeight="1">
      <c r="A11" s="420"/>
      <c r="B11" s="19" t="s">
        <v>22</v>
      </c>
      <c r="C11" s="20" t="s">
        <v>4</v>
      </c>
      <c r="D11" s="19" t="s">
        <v>22</v>
      </c>
      <c r="E11" s="19" t="s">
        <v>5</v>
      </c>
      <c r="F11" s="19" t="s">
        <v>22</v>
      </c>
      <c r="G11" s="19" t="s">
        <v>4</v>
      </c>
      <c r="H11" s="19" t="s">
        <v>22</v>
      </c>
      <c r="I11" s="19" t="s">
        <v>6</v>
      </c>
      <c r="J11" s="121"/>
    </row>
    <row r="12" spans="1:10" s="122" customFormat="1" ht="34.5" customHeight="1">
      <c r="A12" s="448" t="s">
        <v>24</v>
      </c>
      <c r="B12" s="481">
        <f>16314.9+9550+161.4+1280</f>
        <v>27306.300000000003</v>
      </c>
      <c r="C12" s="444" t="s">
        <v>141</v>
      </c>
      <c r="D12" s="23"/>
      <c r="E12" s="24"/>
      <c r="F12" s="25"/>
      <c r="G12" s="97"/>
      <c r="H12" s="26"/>
      <c r="I12" s="26"/>
      <c r="J12" s="121"/>
    </row>
    <row r="13" spans="1:10" s="122" customFormat="1" ht="10.5" customHeight="1" hidden="1">
      <c r="A13" s="449"/>
      <c r="B13" s="482"/>
      <c r="C13" s="468"/>
      <c r="D13" s="23"/>
      <c r="E13" s="106"/>
      <c r="F13" s="25"/>
      <c r="G13" s="97"/>
      <c r="H13" s="26"/>
      <c r="I13" s="26"/>
      <c r="J13" s="121"/>
    </row>
    <row r="14" spans="1:11" s="125" customFormat="1" ht="24.75" customHeight="1">
      <c r="A14" s="27" t="s">
        <v>19</v>
      </c>
      <c r="B14" s="28">
        <f>SUM(B12:B13)</f>
        <v>27306.300000000003</v>
      </c>
      <c r="C14" s="445"/>
      <c r="D14" s="29"/>
      <c r="E14" s="30"/>
      <c r="F14" s="31"/>
      <c r="G14" s="98"/>
      <c r="H14" s="27"/>
      <c r="I14" s="27"/>
      <c r="J14" s="123"/>
      <c r="K14" s="124"/>
    </row>
    <row r="15" spans="1:11" s="122" customFormat="1" ht="21" customHeight="1">
      <c r="A15" s="21" t="s">
        <v>7</v>
      </c>
      <c r="B15" s="22">
        <f>3392.04+80.4+621.2</f>
        <v>4093.6400000000003</v>
      </c>
      <c r="C15" s="431" t="s">
        <v>115</v>
      </c>
      <c r="D15" s="32"/>
      <c r="E15" s="33"/>
      <c r="F15" s="25"/>
      <c r="G15" s="97"/>
      <c r="H15" s="26"/>
      <c r="I15" s="26"/>
      <c r="J15" s="121"/>
      <c r="K15" s="126"/>
    </row>
    <row r="16" spans="1:11" s="125" customFormat="1" ht="19.5" customHeight="1">
      <c r="A16" s="27" t="s">
        <v>19</v>
      </c>
      <c r="B16" s="28">
        <f>SUM(B15)</f>
        <v>4093.6400000000003</v>
      </c>
      <c r="C16" s="433"/>
      <c r="D16" s="34"/>
      <c r="E16" s="30"/>
      <c r="F16" s="31"/>
      <c r="G16" s="98"/>
      <c r="H16" s="27"/>
      <c r="I16" s="27"/>
      <c r="J16" s="123"/>
      <c r="K16" s="124"/>
    </row>
    <row r="17" spans="1:11" s="125" customFormat="1" ht="20.25" customHeight="1">
      <c r="A17" s="35" t="s">
        <v>32</v>
      </c>
      <c r="B17" s="22">
        <f>91632.87+128+236</f>
        <v>91996.87</v>
      </c>
      <c r="C17" s="431" t="s">
        <v>123</v>
      </c>
      <c r="D17" s="21"/>
      <c r="E17" s="33"/>
      <c r="F17" s="36">
        <f>7907+1450</f>
        <v>9357</v>
      </c>
      <c r="G17" s="97"/>
      <c r="H17" s="27"/>
      <c r="I17" s="27"/>
      <c r="J17" s="123"/>
      <c r="K17" s="124"/>
    </row>
    <row r="18" spans="1:11" s="125" customFormat="1" ht="35.25" customHeight="1">
      <c r="A18" s="27" t="s">
        <v>19</v>
      </c>
      <c r="B18" s="28">
        <f>SUM(B17)</f>
        <v>91996.87</v>
      </c>
      <c r="C18" s="433"/>
      <c r="D18" s="29"/>
      <c r="E18" s="30"/>
      <c r="F18" s="37">
        <f>F17</f>
        <v>9357</v>
      </c>
      <c r="G18" s="98"/>
      <c r="H18" s="27"/>
      <c r="I18" s="27"/>
      <c r="J18" s="123"/>
      <c r="K18" s="124"/>
    </row>
    <row r="19" spans="1:11" s="122" customFormat="1" ht="21" customHeight="1">
      <c r="A19" s="21" t="s">
        <v>55</v>
      </c>
      <c r="B19" s="22">
        <v>10132</v>
      </c>
      <c r="C19" s="431" t="s">
        <v>96</v>
      </c>
      <c r="D19" s="38"/>
      <c r="E19" s="39"/>
      <c r="F19" s="25"/>
      <c r="G19" s="97"/>
      <c r="H19" s="26"/>
      <c r="I19" s="26"/>
      <c r="J19" s="121"/>
      <c r="K19" s="126"/>
    </row>
    <row r="20" spans="1:11" s="125" customFormat="1" ht="17.25" customHeight="1">
      <c r="A20" s="27" t="s">
        <v>20</v>
      </c>
      <c r="B20" s="28">
        <f>B19</f>
        <v>10132</v>
      </c>
      <c r="C20" s="433"/>
      <c r="D20" s="23"/>
      <c r="E20" s="33"/>
      <c r="F20" s="31"/>
      <c r="G20" s="98"/>
      <c r="H20" s="27"/>
      <c r="I20" s="27"/>
      <c r="J20" s="123"/>
      <c r="K20" s="124"/>
    </row>
    <row r="21" spans="1:11" s="122" customFormat="1" ht="20.25" customHeight="1">
      <c r="A21" s="21" t="s">
        <v>8</v>
      </c>
      <c r="B21" s="22">
        <v>23945</v>
      </c>
      <c r="C21" s="431" t="s">
        <v>116</v>
      </c>
      <c r="D21" s="38"/>
      <c r="E21" s="39"/>
      <c r="F21" s="25"/>
      <c r="G21" s="97"/>
      <c r="H21" s="41"/>
      <c r="I21" s="97"/>
      <c r="J21" s="121"/>
      <c r="K21" s="126"/>
    </row>
    <row r="22" spans="1:11" s="125" customFormat="1" ht="29.25" customHeight="1">
      <c r="A22" s="27" t="s">
        <v>20</v>
      </c>
      <c r="B22" s="28">
        <f>B21</f>
        <v>23945</v>
      </c>
      <c r="C22" s="433"/>
      <c r="D22" s="109"/>
      <c r="E22" s="112"/>
      <c r="F22" s="113"/>
      <c r="G22" s="110"/>
      <c r="H22" s="114">
        <f>H21</f>
        <v>0</v>
      </c>
      <c r="I22" s="115"/>
      <c r="J22" s="123"/>
      <c r="K22" s="124"/>
    </row>
    <row r="23" spans="1:11" s="125" customFormat="1" ht="20.25" customHeight="1">
      <c r="A23" s="448" t="s">
        <v>9</v>
      </c>
      <c r="B23" s="450">
        <f>108539+2800+5200</f>
        <v>116539</v>
      </c>
      <c r="C23" s="431" t="s">
        <v>133</v>
      </c>
      <c r="D23" s="428"/>
      <c r="E23" s="429"/>
      <c r="F23" s="430"/>
      <c r="G23" s="427"/>
      <c r="H23" s="426"/>
      <c r="I23" s="426"/>
      <c r="J23" s="123"/>
      <c r="K23" s="124"/>
    </row>
    <row r="24" spans="1:11" s="125" customFormat="1" ht="8.25" customHeight="1">
      <c r="A24" s="449"/>
      <c r="B24" s="451"/>
      <c r="C24" s="432"/>
      <c r="D24" s="428"/>
      <c r="E24" s="429"/>
      <c r="F24" s="430"/>
      <c r="G24" s="427"/>
      <c r="H24" s="426"/>
      <c r="I24" s="426"/>
      <c r="J24" s="123"/>
      <c r="K24" s="124"/>
    </row>
    <row r="25" spans="1:11" s="125" customFormat="1" ht="38.25" customHeight="1">
      <c r="A25" s="27" t="s">
        <v>20</v>
      </c>
      <c r="B25" s="28">
        <f>SUM(B23:B24)</f>
        <v>116539</v>
      </c>
      <c r="C25" s="433"/>
      <c r="D25" s="23"/>
      <c r="E25" s="119"/>
      <c r="F25" s="74"/>
      <c r="G25" s="98"/>
      <c r="H25" s="60"/>
      <c r="I25" s="60"/>
      <c r="J25" s="123"/>
      <c r="K25" s="124"/>
    </row>
    <row r="26" spans="1:11" s="122" customFormat="1" ht="18" customHeight="1">
      <c r="A26" s="21" t="s">
        <v>10</v>
      </c>
      <c r="B26" s="22">
        <f>27480.35+64.8+178.55</f>
        <v>27723.699999999997</v>
      </c>
      <c r="C26" s="431" t="s">
        <v>89</v>
      </c>
      <c r="D26" s="23"/>
      <c r="E26" s="119"/>
      <c r="F26" s="59"/>
      <c r="G26" s="97"/>
      <c r="H26" s="19"/>
      <c r="I26" s="19"/>
      <c r="J26" s="121"/>
      <c r="K26" s="126"/>
    </row>
    <row r="27" spans="1:11" s="125" customFormat="1" ht="16.5" customHeight="1">
      <c r="A27" s="27" t="s">
        <v>20</v>
      </c>
      <c r="B27" s="28">
        <f>SUM(B26)</f>
        <v>27723.699999999997</v>
      </c>
      <c r="C27" s="433"/>
      <c r="D27" s="23"/>
      <c r="E27" s="119"/>
      <c r="F27" s="57"/>
      <c r="G27" s="98"/>
      <c r="H27" s="60"/>
      <c r="I27" s="60"/>
      <c r="J27" s="123"/>
      <c r="K27" s="124"/>
    </row>
    <row r="28" spans="1:10" s="122" customFormat="1" ht="31.5" customHeight="1">
      <c r="A28" s="448" t="s">
        <v>11</v>
      </c>
      <c r="B28" s="450">
        <f>68894.29+24116.8</f>
        <v>93011.09</v>
      </c>
      <c r="C28" s="444" t="s">
        <v>124</v>
      </c>
      <c r="D28" s="23"/>
      <c r="E28" s="119"/>
      <c r="F28" s="75"/>
      <c r="G28" s="97"/>
      <c r="H28" s="19"/>
      <c r="I28" s="19"/>
      <c r="J28" s="121"/>
    </row>
    <row r="29" spans="1:10" s="122" customFormat="1" ht="0.75" customHeight="1" hidden="1">
      <c r="A29" s="449"/>
      <c r="B29" s="451"/>
      <c r="C29" s="468"/>
      <c r="D29" s="23"/>
      <c r="E29" s="119"/>
      <c r="F29" s="75"/>
      <c r="G29" s="97"/>
      <c r="H29" s="19"/>
      <c r="I29" s="19"/>
      <c r="J29" s="121"/>
    </row>
    <row r="30" spans="1:10" s="125" customFormat="1" ht="16.5" customHeight="1">
      <c r="A30" s="27" t="s">
        <v>20</v>
      </c>
      <c r="B30" s="28">
        <f>SUM(B28:B29)</f>
        <v>93011.09</v>
      </c>
      <c r="C30" s="445"/>
      <c r="D30" s="19"/>
      <c r="E30" s="43"/>
      <c r="F30" s="74"/>
      <c r="G30" s="98"/>
      <c r="H30" s="60"/>
      <c r="I30" s="60"/>
      <c r="J30" s="123"/>
    </row>
    <row r="31" spans="1:10" s="122" customFormat="1" ht="6" customHeight="1" hidden="1">
      <c r="A31" s="448" t="s">
        <v>49</v>
      </c>
      <c r="B31" s="450">
        <v>25404.2</v>
      </c>
      <c r="C31" s="40"/>
      <c r="D31" s="23"/>
      <c r="E31" s="119"/>
      <c r="F31" s="75"/>
      <c r="G31" s="97"/>
      <c r="H31" s="19"/>
      <c r="I31" s="19"/>
      <c r="J31" s="121"/>
    </row>
    <row r="32" spans="1:10" s="122" customFormat="1" ht="19.5" customHeight="1">
      <c r="A32" s="449"/>
      <c r="B32" s="451"/>
      <c r="C32" s="431" t="s">
        <v>125</v>
      </c>
      <c r="D32" s="23"/>
      <c r="E32" s="119"/>
      <c r="F32" s="75"/>
      <c r="G32" s="97"/>
      <c r="H32" s="19"/>
      <c r="I32" s="19"/>
      <c r="J32" s="121"/>
    </row>
    <row r="33" spans="1:10" s="125" customFormat="1" ht="17.25" customHeight="1">
      <c r="A33" s="27" t="s">
        <v>20</v>
      </c>
      <c r="B33" s="28">
        <v>25404.2</v>
      </c>
      <c r="C33" s="433"/>
      <c r="D33" s="116"/>
      <c r="E33" s="117"/>
      <c r="F33" s="118"/>
      <c r="G33" s="111"/>
      <c r="H33" s="85"/>
      <c r="I33" s="85"/>
      <c r="J33" s="123"/>
    </row>
    <row r="34" spans="1:10" s="122" customFormat="1" ht="21.75" customHeight="1">
      <c r="A34" s="21" t="s">
        <v>12</v>
      </c>
      <c r="B34" s="22">
        <f>26465+120+120</f>
        <v>26705</v>
      </c>
      <c r="C34" s="431" t="s">
        <v>80</v>
      </c>
      <c r="D34" s="19"/>
      <c r="E34" s="43"/>
      <c r="F34" s="76"/>
      <c r="G34" s="97"/>
      <c r="H34" s="19"/>
      <c r="I34" s="19"/>
      <c r="J34" s="121"/>
    </row>
    <row r="35" spans="1:10" s="125" customFormat="1" ht="16.5" customHeight="1">
      <c r="A35" s="27" t="s">
        <v>20</v>
      </c>
      <c r="B35" s="28">
        <f>SUM(B34)</f>
        <v>26705</v>
      </c>
      <c r="C35" s="433"/>
      <c r="D35" s="44"/>
      <c r="E35" s="45"/>
      <c r="F35" s="77"/>
      <c r="G35" s="98"/>
      <c r="H35" s="60"/>
      <c r="I35" s="60"/>
      <c r="J35" s="123"/>
    </row>
    <row r="36" spans="1:10" s="122" customFormat="1" ht="18" customHeight="1">
      <c r="A36" s="21" t="s">
        <v>21</v>
      </c>
      <c r="B36" s="22">
        <f>18720+50+972</f>
        <v>19742</v>
      </c>
      <c r="C36" s="431" t="s">
        <v>90</v>
      </c>
      <c r="D36" s="44"/>
      <c r="E36" s="43"/>
      <c r="F36" s="76"/>
      <c r="G36" s="97"/>
      <c r="H36" s="19"/>
      <c r="I36" s="19"/>
      <c r="J36" s="121"/>
    </row>
    <row r="37" spans="1:10" s="125" customFormat="1" ht="16.5" customHeight="1">
      <c r="A37" s="27" t="s">
        <v>20</v>
      </c>
      <c r="B37" s="28">
        <f>SUM(B36:B36)</f>
        <v>19742</v>
      </c>
      <c r="C37" s="433"/>
      <c r="D37" s="19"/>
      <c r="E37" s="43"/>
      <c r="F37" s="77"/>
      <c r="G37" s="98"/>
      <c r="H37" s="60"/>
      <c r="I37" s="60"/>
      <c r="J37" s="123"/>
    </row>
    <row r="38" spans="1:10" s="122" customFormat="1" ht="22.5" customHeight="1">
      <c r="A38" s="21" t="s">
        <v>13</v>
      </c>
      <c r="B38" s="22">
        <f>16983.2+260+2440+953.2+7960+440</f>
        <v>29036.4</v>
      </c>
      <c r="C38" s="431" t="s">
        <v>142</v>
      </c>
      <c r="D38" s="44"/>
      <c r="E38" s="42"/>
      <c r="F38" s="43"/>
      <c r="G38" s="97"/>
      <c r="H38" s="19"/>
      <c r="I38" s="19"/>
      <c r="J38" s="121"/>
    </row>
    <row r="39" spans="1:10" s="125" customFormat="1" ht="17.25" customHeight="1">
      <c r="A39" s="27" t="s">
        <v>20</v>
      </c>
      <c r="B39" s="28">
        <f>SUM(B38)</f>
        <v>29036.4</v>
      </c>
      <c r="C39" s="433"/>
      <c r="D39" s="44"/>
      <c r="E39" s="42"/>
      <c r="F39" s="74"/>
      <c r="G39" s="98"/>
      <c r="H39" s="60"/>
      <c r="I39" s="60"/>
      <c r="J39" s="123"/>
    </row>
    <row r="40" spans="1:10" s="122" customFormat="1" ht="21" customHeight="1">
      <c r="A40" s="21" t="s">
        <v>14</v>
      </c>
      <c r="B40" s="22">
        <f>8120.7+711.9+350+17005</f>
        <v>26187.6</v>
      </c>
      <c r="C40" s="431" t="s">
        <v>143</v>
      </c>
      <c r="D40" s="44"/>
      <c r="E40" s="42"/>
      <c r="F40" s="43"/>
      <c r="G40" s="97"/>
      <c r="H40" s="19"/>
      <c r="I40" s="19"/>
      <c r="J40" s="121"/>
    </row>
    <row r="41" spans="1:10" s="125" customFormat="1" ht="17.25" customHeight="1">
      <c r="A41" s="27" t="s">
        <v>20</v>
      </c>
      <c r="B41" s="28">
        <f>SUM(B40:B40)</f>
        <v>26187.6</v>
      </c>
      <c r="C41" s="433"/>
      <c r="D41" s="44"/>
      <c r="E41" s="42"/>
      <c r="F41" s="74">
        <f>F40</f>
        <v>0</v>
      </c>
      <c r="G41" s="98"/>
      <c r="H41" s="60"/>
      <c r="I41" s="60"/>
      <c r="J41" s="123"/>
    </row>
    <row r="42" spans="1:10" s="122" customFormat="1" ht="19.5" customHeight="1">
      <c r="A42" s="21" t="s">
        <v>15</v>
      </c>
      <c r="B42" s="22">
        <f>8785.5+493+562</f>
        <v>9840.5</v>
      </c>
      <c r="C42" s="431" t="s">
        <v>79</v>
      </c>
      <c r="D42" s="44"/>
      <c r="E42" s="46"/>
      <c r="F42" s="43"/>
      <c r="G42" s="97"/>
      <c r="H42" s="19"/>
      <c r="I42" s="19"/>
      <c r="J42" s="121"/>
    </row>
    <row r="43" spans="1:10" s="125" customFormat="1" ht="16.5" customHeight="1">
      <c r="A43" s="27" t="s">
        <v>20</v>
      </c>
      <c r="B43" s="28">
        <f>SUM(B42:B42)</f>
        <v>9840.5</v>
      </c>
      <c r="C43" s="433"/>
      <c r="D43" s="44"/>
      <c r="E43" s="46"/>
      <c r="F43" s="74"/>
      <c r="G43" s="98"/>
      <c r="H43" s="60"/>
      <c r="I43" s="60"/>
      <c r="J43" s="123"/>
    </row>
    <row r="44" spans="1:10" s="122" customFormat="1" ht="21.75" customHeight="1">
      <c r="A44" s="21" t="s">
        <v>16</v>
      </c>
      <c r="B44" s="22">
        <f>25196.58+1427+7200+507.5+4929.17+3110</f>
        <v>42370.25</v>
      </c>
      <c r="C44" s="431" t="s">
        <v>144</v>
      </c>
      <c r="D44" s="44"/>
      <c r="E44" s="46"/>
      <c r="F44" s="43"/>
      <c r="G44" s="97"/>
      <c r="H44" s="19"/>
      <c r="I44" s="19"/>
      <c r="J44" s="121"/>
    </row>
    <row r="45" spans="1:10" s="125" customFormat="1" ht="16.5" customHeight="1">
      <c r="A45" s="27" t="s">
        <v>20</v>
      </c>
      <c r="B45" s="28">
        <f>SUM(B44:B44)</f>
        <v>42370.25</v>
      </c>
      <c r="C45" s="433"/>
      <c r="D45" s="44"/>
      <c r="E45" s="46"/>
      <c r="F45" s="74">
        <f>F44</f>
        <v>0</v>
      </c>
      <c r="G45" s="98"/>
      <c r="H45" s="60"/>
      <c r="I45" s="60"/>
      <c r="J45" s="123"/>
    </row>
    <row r="46" spans="1:10" s="122" customFormat="1" ht="18.75" customHeight="1">
      <c r="A46" s="21" t="s">
        <v>17</v>
      </c>
      <c r="B46" s="47">
        <f>13350.15+206.5+30.45+812.6+3640</f>
        <v>18039.7</v>
      </c>
      <c r="C46" s="431" t="s">
        <v>145</v>
      </c>
      <c r="D46" s="19"/>
      <c r="E46" s="46"/>
      <c r="F46" s="43"/>
      <c r="G46" s="99"/>
      <c r="H46" s="19"/>
      <c r="I46" s="19"/>
      <c r="J46" s="121"/>
    </row>
    <row r="47" spans="1:10" s="125" customFormat="1" ht="17.25" customHeight="1">
      <c r="A47" s="27" t="s">
        <v>20</v>
      </c>
      <c r="B47" s="48">
        <f>SUM(B46:B46)</f>
        <v>18039.7</v>
      </c>
      <c r="C47" s="433"/>
      <c r="D47" s="44"/>
      <c r="E47" s="42"/>
      <c r="F47" s="74"/>
      <c r="G47" s="98"/>
      <c r="H47" s="60"/>
      <c r="I47" s="60"/>
      <c r="J47" s="123"/>
    </row>
    <row r="48" spans="1:10" s="122" customFormat="1" ht="18.75" customHeight="1">
      <c r="A48" s="49" t="s">
        <v>18</v>
      </c>
      <c r="B48" s="22">
        <f>7132+268.5+280</f>
        <v>7680.5</v>
      </c>
      <c r="C48" s="431" t="s">
        <v>77</v>
      </c>
      <c r="D48" s="44"/>
      <c r="E48" s="42"/>
      <c r="F48" s="43"/>
      <c r="G48" s="97"/>
      <c r="H48" s="19"/>
      <c r="I48" s="19"/>
      <c r="J48" s="121"/>
    </row>
    <row r="49" spans="1:10" s="122" customFormat="1" ht="19.5" customHeight="1" thickBot="1">
      <c r="A49" s="27" t="s">
        <v>20</v>
      </c>
      <c r="B49" s="28">
        <f>SUM(B48:B48)</f>
        <v>7680.5</v>
      </c>
      <c r="C49" s="433"/>
      <c r="D49" s="44"/>
      <c r="E49" s="43"/>
      <c r="F49" s="74">
        <f>F48</f>
        <v>0</v>
      </c>
      <c r="G49" s="97"/>
      <c r="H49" s="19"/>
      <c r="I49" s="19"/>
      <c r="J49" s="121"/>
    </row>
    <row r="50" spans="1:10" s="128" customFormat="1" ht="36.75" customHeight="1" thickBot="1">
      <c r="A50" s="52" t="s">
        <v>68</v>
      </c>
      <c r="B50" s="53">
        <f>SUM(B14+B16+B18+B20+B22+B25+B27+B30+B33+B35+B37+B39+B41+B43+B45+B47+B49)</f>
        <v>599753.75</v>
      </c>
      <c r="C50" s="133"/>
      <c r="D50" s="134"/>
      <c r="E50" s="135"/>
      <c r="F50" s="80">
        <f>F41+F49+F18+F45</f>
        <v>9357</v>
      </c>
      <c r="G50" s="136"/>
      <c r="H50" s="137">
        <f>H22</f>
        <v>0</v>
      </c>
      <c r="I50" s="138"/>
      <c r="J50" s="127"/>
    </row>
    <row r="51" spans="1:10" s="122" customFormat="1" ht="24" customHeight="1">
      <c r="A51" s="26" t="s">
        <v>41</v>
      </c>
      <c r="B51" s="22">
        <f>39002.8+10110</f>
        <v>49112.8</v>
      </c>
      <c r="C51" s="431" t="s">
        <v>82</v>
      </c>
      <c r="D51" s="56"/>
      <c r="E51" s="83"/>
      <c r="F51" s="84"/>
      <c r="G51" s="97"/>
      <c r="H51" s="85"/>
      <c r="I51" s="85"/>
      <c r="J51" s="123"/>
    </row>
    <row r="52" spans="1:10" s="125" customFormat="1" ht="17.25" customHeight="1">
      <c r="A52" s="27" t="s">
        <v>20</v>
      </c>
      <c r="B52" s="28">
        <f>SUM(B51:B51)</f>
        <v>49112.8</v>
      </c>
      <c r="C52" s="433"/>
      <c r="D52" s="57"/>
      <c r="E52" s="58"/>
      <c r="F52" s="74">
        <f>F51</f>
        <v>0</v>
      </c>
      <c r="G52" s="98"/>
      <c r="H52" s="60"/>
      <c r="I52" s="60"/>
      <c r="J52" s="123"/>
    </row>
    <row r="53" spans="1:10" s="122" customFormat="1" ht="24" customHeight="1">
      <c r="A53" s="26" t="s">
        <v>56</v>
      </c>
      <c r="B53" s="22">
        <f>24471.4+320+312</f>
        <v>25103.4</v>
      </c>
      <c r="C53" s="431" t="s">
        <v>78</v>
      </c>
      <c r="D53" s="56"/>
      <c r="E53" s="83"/>
      <c r="F53" s="84"/>
      <c r="G53" s="97"/>
      <c r="H53" s="85"/>
      <c r="I53" s="85"/>
      <c r="J53" s="123"/>
    </row>
    <row r="54" spans="1:10" s="125" customFormat="1" ht="17.25" customHeight="1">
      <c r="A54" s="27" t="s">
        <v>20</v>
      </c>
      <c r="B54" s="28">
        <f>SUM(B53:B53)</f>
        <v>25103.4</v>
      </c>
      <c r="C54" s="433"/>
      <c r="D54" s="57"/>
      <c r="E54" s="58"/>
      <c r="F54" s="74">
        <f>F53</f>
        <v>0</v>
      </c>
      <c r="G54" s="98"/>
      <c r="H54" s="60"/>
      <c r="I54" s="60"/>
      <c r="J54" s="123"/>
    </row>
    <row r="55" spans="1:10" s="125" customFormat="1" ht="57" customHeight="1">
      <c r="A55" s="21" t="s">
        <v>39</v>
      </c>
      <c r="B55" s="22">
        <v>24844</v>
      </c>
      <c r="C55" s="120" t="s">
        <v>117</v>
      </c>
      <c r="D55" s="59">
        <v>80</v>
      </c>
      <c r="E55" s="59" t="s">
        <v>147</v>
      </c>
      <c r="F55" s="43">
        <v>986</v>
      </c>
      <c r="G55" s="97" t="s">
        <v>110</v>
      </c>
      <c r="H55" s="60"/>
      <c r="I55" s="60"/>
      <c r="J55" s="123"/>
    </row>
    <row r="56" spans="1:10" s="125" customFormat="1" ht="17.25" customHeight="1">
      <c r="A56" s="27" t="s">
        <v>20</v>
      </c>
      <c r="B56" s="28">
        <f>SUM(B55:B55)</f>
        <v>24844</v>
      </c>
      <c r="C56" s="94"/>
      <c r="D56" s="57">
        <v>80</v>
      </c>
      <c r="E56" s="58"/>
      <c r="F56" s="74">
        <f>F55</f>
        <v>986</v>
      </c>
      <c r="G56" s="98"/>
      <c r="H56" s="60"/>
      <c r="I56" s="60"/>
      <c r="J56" s="123"/>
    </row>
    <row r="57" spans="1:10" s="122" customFormat="1" ht="57" customHeight="1">
      <c r="A57" s="21" t="s">
        <v>38</v>
      </c>
      <c r="B57" s="22">
        <v>1015</v>
      </c>
      <c r="C57" s="40" t="s">
        <v>146</v>
      </c>
      <c r="D57" s="59">
        <v>30</v>
      </c>
      <c r="E57" s="59" t="s">
        <v>147</v>
      </c>
      <c r="F57" s="43">
        <v>826.5</v>
      </c>
      <c r="G57" s="97" t="s">
        <v>110</v>
      </c>
      <c r="H57" s="78"/>
      <c r="I57" s="19"/>
      <c r="J57" s="73"/>
    </row>
    <row r="58" spans="1:10" s="125" customFormat="1" ht="16.5" customHeight="1">
      <c r="A58" s="27" t="s">
        <v>20</v>
      </c>
      <c r="B58" s="28">
        <f>SUM(B57:B57)</f>
        <v>1015</v>
      </c>
      <c r="C58" s="94"/>
      <c r="D58" s="57">
        <f>D57</f>
        <v>30</v>
      </c>
      <c r="E58" s="86"/>
      <c r="F58" s="74">
        <f>F57</f>
        <v>826.5</v>
      </c>
      <c r="G58" s="102"/>
      <c r="H58" s="86"/>
      <c r="I58" s="60"/>
      <c r="J58" s="129"/>
    </row>
    <row r="59" spans="1:10" s="125" customFormat="1" ht="37.5" customHeight="1">
      <c r="A59" s="21" t="s">
        <v>40</v>
      </c>
      <c r="B59" s="22"/>
      <c r="C59" s="40" t="s">
        <v>83</v>
      </c>
      <c r="D59" s="59">
        <v>110</v>
      </c>
      <c r="E59" s="59" t="s">
        <v>147</v>
      </c>
      <c r="F59" s="43">
        <v>449.5</v>
      </c>
      <c r="G59" s="97" t="s">
        <v>110</v>
      </c>
      <c r="H59" s="86"/>
      <c r="I59" s="60"/>
      <c r="J59" s="129"/>
    </row>
    <row r="60" spans="1:10" s="125" customFormat="1" ht="17.25" customHeight="1">
      <c r="A60" s="27" t="s">
        <v>20</v>
      </c>
      <c r="B60" s="28">
        <f>SUM(B59:B59)</f>
        <v>0</v>
      </c>
      <c r="C60" s="96"/>
      <c r="D60" s="61">
        <f>D59</f>
        <v>110</v>
      </c>
      <c r="E60" s="61"/>
      <c r="F60" s="57">
        <f>F59</f>
        <v>449.5</v>
      </c>
      <c r="G60" s="102"/>
      <c r="H60" s="86"/>
      <c r="I60" s="60"/>
      <c r="J60" s="129"/>
    </row>
    <row r="61" spans="1:10" s="125" customFormat="1" ht="54.75" customHeight="1">
      <c r="A61" s="21" t="s">
        <v>42</v>
      </c>
      <c r="B61" s="22">
        <f>4952+6200</f>
        <v>11152</v>
      </c>
      <c r="C61" s="40" t="s">
        <v>152</v>
      </c>
      <c r="D61" s="59">
        <v>80</v>
      </c>
      <c r="E61" s="59" t="s">
        <v>147</v>
      </c>
      <c r="F61" s="59">
        <v>507.5</v>
      </c>
      <c r="G61" s="97" t="s">
        <v>110</v>
      </c>
      <c r="H61" s="86"/>
      <c r="I61" s="60"/>
      <c r="J61" s="129"/>
    </row>
    <row r="62" spans="1:10" s="125" customFormat="1" ht="17.25" customHeight="1">
      <c r="A62" s="27" t="s">
        <v>20</v>
      </c>
      <c r="B62" s="28">
        <f>SUM(B61:B61)</f>
        <v>11152</v>
      </c>
      <c r="C62" s="96"/>
      <c r="D62" s="57">
        <f>D61</f>
        <v>80</v>
      </c>
      <c r="E62" s="61"/>
      <c r="F62" s="57">
        <f>F61</f>
        <v>507.5</v>
      </c>
      <c r="G62" s="102"/>
      <c r="H62" s="86"/>
      <c r="I62" s="60"/>
      <c r="J62" s="129"/>
    </row>
    <row r="63" spans="1:10" s="122" customFormat="1" ht="52.5" customHeight="1">
      <c r="A63" s="21" t="s">
        <v>29</v>
      </c>
      <c r="B63" s="22">
        <f>64331.7+6876+12640+1721</f>
        <v>85568.7</v>
      </c>
      <c r="C63" s="431" t="s">
        <v>118</v>
      </c>
      <c r="D63" s="45">
        <v>30</v>
      </c>
      <c r="E63" s="59" t="s">
        <v>147</v>
      </c>
      <c r="F63" s="45">
        <v>1711</v>
      </c>
      <c r="G63" s="97" t="s">
        <v>110</v>
      </c>
      <c r="H63" s="43"/>
      <c r="I63" s="19"/>
      <c r="J63" s="73"/>
    </row>
    <row r="64" spans="1:10" s="125" customFormat="1" ht="33.75" customHeight="1">
      <c r="A64" s="27" t="s">
        <v>20</v>
      </c>
      <c r="B64" s="28">
        <f>SUM(B63:B63)</f>
        <v>85568.7</v>
      </c>
      <c r="C64" s="433"/>
      <c r="D64" s="57">
        <f>D63</f>
        <v>30</v>
      </c>
      <c r="E64" s="61"/>
      <c r="F64" s="57">
        <f>F63</f>
        <v>1711</v>
      </c>
      <c r="G64" s="102"/>
      <c r="H64" s="74">
        <f>H63</f>
        <v>0</v>
      </c>
      <c r="I64" s="60"/>
      <c r="J64" s="129"/>
    </row>
    <row r="65" spans="1:10" s="125" customFormat="1" ht="174.75" customHeight="1" hidden="1">
      <c r="A65" s="27" t="s">
        <v>20</v>
      </c>
      <c r="B65" s="28">
        <f>SUM(B63:B64)</f>
        <v>171137.4</v>
      </c>
      <c r="C65" s="94"/>
      <c r="D65" s="61"/>
      <c r="E65" s="57"/>
      <c r="F65" s="61"/>
      <c r="G65" s="102"/>
      <c r="H65" s="86"/>
      <c r="I65" s="86"/>
      <c r="J65" s="129"/>
    </row>
    <row r="66" spans="1:10" s="125" customFormat="1" ht="16.5" customHeight="1" hidden="1">
      <c r="A66" s="21" t="s">
        <v>37</v>
      </c>
      <c r="B66" s="22">
        <v>10999</v>
      </c>
      <c r="C66" s="40" t="s">
        <v>52</v>
      </c>
      <c r="D66" s="61"/>
      <c r="E66" s="57"/>
      <c r="F66" s="61"/>
      <c r="G66" s="102"/>
      <c r="H66" s="86"/>
      <c r="I66" s="86"/>
      <c r="J66" s="129"/>
    </row>
    <row r="67" spans="1:10" s="122" customFormat="1" ht="17.25" customHeight="1" hidden="1">
      <c r="A67" s="21" t="s">
        <v>37</v>
      </c>
      <c r="B67" s="22">
        <v>1219</v>
      </c>
      <c r="C67" s="40" t="s">
        <v>43</v>
      </c>
      <c r="D67" s="45"/>
      <c r="E67" s="57"/>
      <c r="F67" s="45"/>
      <c r="G67" s="97"/>
      <c r="H67" s="78"/>
      <c r="I67" s="19"/>
      <c r="J67" s="73"/>
    </row>
    <row r="68" spans="1:10" s="125" customFormat="1" ht="16.5" customHeight="1" hidden="1">
      <c r="A68" s="27" t="s">
        <v>20</v>
      </c>
      <c r="B68" s="28">
        <f>SUM(B66:B67)</f>
        <v>12218</v>
      </c>
      <c r="C68" s="94"/>
      <c r="D68" s="61"/>
      <c r="E68" s="57"/>
      <c r="F68" s="61"/>
      <c r="G68" s="102"/>
      <c r="H68" s="86"/>
      <c r="I68" s="86"/>
      <c r="J68" s="129"/>
    </row>
    <row r="69" spans="1:10" s="125" customFormat="1" ht="16.5" customHeight="1" hidden="1">
      <c r="A69" s="21" t="s">
        <v>30</v>
      </c>
      <c r="B69" s="63">
        <v>3133</v>
      </c>
      <c r="C69" s="40" t="s">
        <v>44</v>
      </c>
      <c r="D69" s="45"/>
      <c r="E69" s="57"/>
      <c r="F69" s="61"/>
      <c r="G69" s="102"/>
      <c r="H69" s="86"/>
      <c r="I69" s="86"/>
      <c r="J69" s="129"/>
    </row>
    <row r="70" spans="1:10" s="125" customFormat="1" ht="18.75" customHeight="1" hidden="1">
      <c r="A70" s="21" t="s">
        <v>30</v>
      </c>
      <c r="B70" s="63">
        <v>120</v>
      </c>
      <c r="C70" s="40" t="s">
        <v>36</v>
      </c>
      <c r="D70" s="45"/>
      <c r="E70" s="57"/>
      <c r="F70" s="61"/>
      <c r="G70" s="102"/>
      <c r="H70" s="86"/>
      <c r="I70" s="86"/>
      <c r="J70" s="129"/>
    </row>
    <row r="71" spans="1:10" s="125" customFormat="1" ht="18.75" customHeight="1" hidden="1">
      <c r="A71" s="21" t="s">
        <v>30</v>
      </c>
      <c r="B71" s="63">
        <v>210</v>
      </c>
      <c r="C71" s="40" t="s">
        <v>36</v>
      </c>
      <c r="D71" s="45"/>
      <c r="E71" s="57"/>
      <c r="F71" s="61"/>
      <c r="G71" s="102"/>
      <c r="H71" s="86"/>
      <c r="I71" s="86"/>
      <c r="J71" s="129"/>
    </row>
    <row r="72" spans="1:10" s="125" customFormat="1" ht="16.5" customHeight="1" hidden="1">
      <c r="A72" s="27" t="s">
        <v>20</v>
      </c>
      <c r="B72" s="64">
        <f>SUM(B69:B71)</f>
        <v>3463</v>
      </c>
      <c r="C72" s="94"/>
      <c r="D72" s="61"/>
      <c r="E72" s="57"/>
      <c r="F72" s="61"/>
      <c r="G72" s="102"/>
      <c r="H72" s="86"/>
      <c r="I72" s="86"/>
      <c r="J72" s="129"/>
    </row>
    <row r="73" spans="1:10" s="125" customFormat="1" ht="17.25" customHeight="1" hidden="1">
      <c r="A73" s="21" t="s">
        <v>31</v>
      </c>
      <c r="B73" s="65">
        <v>60</v>
      </c>
      <c r="C73" s="40" t="s">
        <v>48</v>
      </c>
      <c r="D73" s="65">
        <v>149639.87</v>
      </c>
      <c r="E73" s="62" t="s">
        <v>47</v>
      </c>
      <c r="F73" s="59"/>
      <c r="G73" s="102"/>
      <c r="H73" s="21"/>
      <c r="I73" s="86"/>
      <c r="J73" s="129"/>
    </row>
    <row r="74" spans="1:10" s="125" customFormat="1" ht="17.25" customHeight="1" hidden="1">
      <c r="A74" s="21" t="s">
        <v>31</v>
      </c>
      <c r="B74" s="65">
        <v>3951.33</v>
      </c>
      <c r="C74" s="40" t="s">
        <v>51</v>
      </c>
      <c r="D74" s="65"/>
      <c r="E74" s="62"/>
      <c r="F74" s="59"/>
      <c r="G74" s="72"/>
      <c r="H74" s="21"/>
      <c r="I74" s="86"/>
      <c r="J74" s="129"/>
    </row>
    <row r="75" spans="1:10" s="122" customFormat="1" ht="55.5" customHeight="1">
      <c r="A75" s="21" t="s">
        <v>37</v>
      </c>
      <c r="B75" s="22">
        <f>68973.1+6350+14600</f>
        <v>89923.1</v>
      </c>
      <c r="C75" s="40" t="s">
        <v>119</v>
      </c>
      <c r="D75" s="45">
        <v>30</v>
      </c>
      <c r="E75" s="59" t="s">
        <v>147</v>
      </c>
      <c r="F75" s="45">
        <v>1102</v>
      </c>
      <c r="G75" s="97" t="s">
        <v>110</v>
      </c>
      <c r="H75" s="78"/>
      <c r="I75" s="19"/>
      <c r="J75" s="73"/>
    </row>
    <row r="76" spans="1:10" s="125" customFormat="1" ht="17.25" customHeight="1">
      <c r="A76" s="27" t="s">
        <v>20</v>
      </c>
      <c r="B76" s="28">
        <f>SUM(B75:B75)</f>
        <v>89923.1</v>
      </c>
      <c r="C76" s="96"/>
      <c r="D76" s="57">
        <f>D75</f>
        <v>30</v>
      </c>
      <c r="E76" s="61"/>
      <c r="F76" s="57">
        <f>F75</f>
        <v>1102</v>
      </c>
      <c r="G76" s="102"/>
      <c r="H76" s="86"/>
      <c r="I76" s="60"/>
      <c r="J76" s="129"/>
    </row>
    <row r="77" spans="1:10" s="122" customFormat="1" ht="52.5" customHeight="1">
      <c r="A77" s="21" t="s">
        <v>30</v>
      </c>
      <c r="B77" s="22">
        <f>25303.96+54310.84+4420</f>
        <v>84034.79999999999</v>
      </c>
      <c r="C77" s="40" t="s">
        <v>136</v>
      </c>
      <c r="D77" s="45">
        <v>80</v>
      </c>
      <c r="E77" s="59" t="s">
        <v>147</v>
      </c>
      <c r="F77" s="45">
        <v>435</v>
      </c>
      <c r="G77" s="97" t="s">
        <v>110</v>
      </c>
      <c r="H77" s="78"/>
      <c r="I77" s="19"/>
      <c r="J77" s="73"/>
    </row>
    <row r="78" spans="1:10" s="125" customFormat="1" ht="17.25" customHeight="1">
      <c r="A78" s="27" t="s">
        <v>20</v>
      </c>
      <c r="B78" s="28">
        <f>SUM(B77:B77)</f>
        <v>84034.79999999999</v>
      </c>
      <c r="C78" s="96"/>
      <c r="D78" s="57">
        <f>D77</f>
        <v>80</v>
      </c>
      <c r="E78" s="61"/>
      <c r="F78" s="57">
        <f>F77</f>
        <v>435</v>
      </c>
      <c r="G78" s="102"/>
      <c r="H78" s="86"/>
      <c r="I78" s="60"/>
      <c r="J78" s="129"/>
    </row>
    <row r="79" spans="1:10" s="122" customFormat="1" ht="54.75" customHeight="1">
      <c r="A79" s="21" t="s">
        <v>57</v>
      </c>
      <c r="B79" s="22">
        <f>734+138.97+312</f>
        <v>1184.97</v>
      </c>
      <c r="C79" s="40" t="s">
        <v>98</v>
      </c>
      <c r="D79" s="45">
        <v>30</v>
      </c>
      <c r="E79" s="59" t="s">
        <v>147</v>
      </c>
      <c r="F79" s="45">
        <v>580.5</v>
      </c>
      <c r="G79" s="97" t="s">
        <v>110</v>
      </c>
      <c r="H79" s="78"/>
      <c r="I79" s="19"/>
      <c r="J79" s="73"/>
    </row>
    <row r="80" spans="1:10" s="125" customFormat="1" ht="17.25" customHeight="1">
      <c r="A80" s="27" t="s">
        <v>20</v>
      </c>
      <c r="B80" s="28">
        <f>SUM(B79:B79)</f>
        <v>1184.97</v>
      </c>
      <c r="C80" s="96"/>
      <c r="D80" s="57">
        <f>D79</f>
        <v>30</v>
      </c>
      <c r="E80" s="61"/>
      <c r="F80" s="57">
        <f>F79</f>
        <v>580.5</v>
      </c>
      <c r="G80" s="102"/>
      <c r="H80" s="86"/>
      <c r="I80" s="60"/>
      <c r="J80" s="129"/>
    </row>
    <row r="81" spans="1:10" s="122" customFormat="1" ht="53.25" customHeight="1">
      <c r="A81" s="21" t="s">
        <v>31</v>
      </c>
      <c r="B81" s="22">
        <f>48481.32+1116+463.5+4611+3640.2+9894.23+11220.49-471</f>
        <v>78955.74</v>
      </c>
      <c r="C81" s="40" t="s">
        <v>99</v>
      </c>
      <c r="D81" s="45">
        <f>9986+7997</f>
        <v>17983</v>
      </c>
      <c r="E81" s="59" t="s">
        <v>121</v>
      </c>
      <c r="F81" s="45">
        <v>1189</v>
      </c>
      <c r="G81" s="97" t="s">
        <v>110</v>
      </c>
      <c r="H81" s="78"/>
      <c r="I81" s="19"/>
      <c r="J81" s="73"/>
    </row>
    <row r="82" spans="1:10" s="122" customFormat="1" ht="53.25" customHeight="1">
      <c r="A82" s="21" t="s">
        <v>31</v>
      </c>
      <c r="B82" s="22"/>
      <c r="C82" s="40" t="s">
        <v>84</v>
      </c>
      <c r="D82" s="45">
        <v>471</v>
      </c>
      <c r="E82" s="59" t="s">
        <v>153</v>
      </c>
      <c r="F82" s="45"/>
      <c r="G82" s="97"/>
      <c r="H82" s="78"/>
      <c r="I82" s="19"/>
      <c r="J82" s="73"/>
    </row>
    <row r="83" spans="1:10" s="122" customFormat="1" ht="53.25" customHeight="1">
      <c r="A83" s="21" t="s">
        <v>31</v>
      </c>
      <c r="B83" s="22"/>
      <c r="C83" s="40" t="s">
        <v>84</v>
      </c>
      <c r="D83" s="45">
        <v>80</v>
      </c>
      <c r="E83" s="59" t="s">
        <v>147</v>
      </c>
      <c r="F83" s="45"/>
      <c r="G83" s="97"/>
      <c r="H83" s="78"/>
      <c r="I83" s="19"/>
      <c r="J83" s="73"/>
    </row>
    <row r="84" spans="1:10" s="125" customFormat="1" ht="17.25" customHeight="1">
      <c r="A84" s="27" t="s">
        <v>20</v>
      </c>
      <c r="B84" s="28">
        <f>SUM(B81:B83)</f>
        <v>78955.74</v>
      </c>
      <c r="C84" s="96"/>
      <c r="D84" s="61">
        <f>SUM(D81:D83)</f>
        <v>18534</v>
      </c>
      <c r="E84" s="61"/>
      <c r="F84" s="57">
        <f>F83</f>
        <v>0</v>
      </c>
      <c r="G84" s="102"/>
      <c r="H84" s="86"/>
      <c r="I84" s="60"/>
      <c r="J84" s="129"/>
    </row>
    <row r="85" spans="1:10" s="125" customFormat="1" ht="81.75" customHeight="1">
      <c r="A85" s="448" t="s">
        <v>58</v>
      </c>
      <c r="B85" s="28"/>
      <c r="C85" s="96"/>
      <c r="D85" s="139"/>
      <c r="E85" s="61"/>
      <c r="F85" s="59">
        <v>754</v>
      </c>
      <c r="G85" s="97" t="s">
        <v>110</v>
      </c>
      <c r="H85" s="86"/>
      <c r="I85" s="60"/>
      <c r="J85" s="129"/>
    </row>
    <row r="86" spans="1:10" s="125" customFormat="1" ht="100.5" customHeight="1">
      <c r="A86" s="449"/>
      <c r="B86" s="65"/>
      <c r="C86" s="40"/>
      <c r="D86" s="65">
        <v>30</v>
      </c>
      <c r="E86" s="59" t="s">
        <v>147</v>
      </c>
      <c r="F86" s="59">
        <v>7040</v>
      </c>
      <c r="G86" s="97" t="s">
        <v>72</v>
      </c>
      <c r="H86" s="21"/>
      <c r="I86" s="86"/>
      <c r="J86" s="129"/>
    </row>
    <row r="87" spans="1:10" s="125" customFormat="1" ht="16.5" customHeight="1">
      <c r="A87" s="27" t="s">
        <v>20</v>
      </c>
      <c r="B87" s="66">
        <f>B86</f>
        <v>0</v>
      </c>
      <c r="C87" s="94"/>
      <c r="D87" s="66">
        <f>D86</f>
        <v>30</v>
      </c>
      <c r="E87" s="57"/>
      <c r="F87" s="61">
        <f>F86+F85</f>
        <v>7794</v>
      </c>
      <c r="G87" s="102"/>
      <c r="H87" s="86"/>
      <c r="I87" s="86"/>
      <c r="J87" s="129"/>
    </row>
    <row r="88" spans="1:10" s="125" customFormat="1" ht="38.25" customHeight="1">
      <c r="A88" s="21" t="s">
        <v>33</v>
      </c>
      <c r="B88" s="65">
        <v>13730</v>
      </c>
      <c r="C88" s="40" t="s">
        <v>91</v>
      </c>
      <c r="D88" s="131">
        <v>206699.6</v>
      </c>
      <c r="E88" s="44" t="s">
        <v>100</v>
      </c>
      <c r="F88" s="59">
        <v>232</v>
      </c>
      <c r="G88" s="97" t="s">
        <v>110</v>
      </c>
      <c r="H88" s="21"/>
      <c r="I88" s="86"/>
      <c r="J88" s="129"/>
    </row>
    <row r="89" spans="1:10" s="125" customFormat="1" ht="38.25" customHeight="1">
      <c r="A89" s="21" t="s">
        <v>33</v>
      </c>
      <c r="B89" s="65"/>
      <c r="C89" s="40"/>
      <c r="D89" s="131">
        <v>30</v>
      </c>
      <c r="E89" s="59" t="s">
        <v>147</v>
      </c>
      <c r="F89" s="59"/>
      <c r="G89" s="97"/>
      <c r="H89" s="21"/>
      <c r="I89" s="86"/>
      <c r="J89" s="129"/>
    </row>
    <row r="90" spans="1:10" s="125" customFormat="1" ht="24" customHeight="1">
      <c r="A90" s="27" t="s">
        <v>20</v>
      </c>
      <c r="B90" s="66">
        <f>SUM(B88)</f>
        <v>13730</v>
      </c>
      <c r="C90" s="94"/>
      <c r="D90" s="141">
        <f>SUM(D88:D89)</f>
        <v>206729.6</v>
      </c>
      <c r="E90" s="57"/>
      <c r="F90" s="61">
        <f>F89</f>
        <v>0</v>
      </c>
      <c r="G90" s="102"/>
      <c r="H90" s="86"/>
      <c r="I90" s="86"/>
      <c r="J90" s="129"/>
    </row>
    <row r="91" spans="1:10" s="125" customFormat="1" ht="52.5" customHeight="1">
      <c r="A91" s="448" t="s">
        <v>45</v>
      </c>
      <c r="B91" s="66"/>
      <c r="C91" s="94"/>
      <c r="D91" s="132"/>
      <c r="E91" s="57"/>
      <c r="F91" s="45">
        <v>1116.5</v>
      </c>
      <c r="G91" s="97" t="s">
        <v>110</v>
      </c>
      <c r="H91" s="86"/>
      <c r="I91" s="86"/>
      <c r="J91" s="129"/>
    </row>
    <row r="92" spans="1:10" s="125" customFormat="1" ht="98.25" customHeight="1">
      <c r="A92" s="449"/>
      <c r="B92" s="63">
        <v>450</v>
      </c>
      <c r="C92" s="40" t="s">
        <v>83</v>
      </c>
      <c r="D92" s="63">
        <v>80</v>
      </c>
      <c r="E92" s="59" t="s">
        <v>147</v>
      </c>
      <c r="F92" s="59">
        <f>15920+1080+2616.7</f>
        <v>19616.7</v>
      </c>
      <c r="G92" s="97" t="s">
        <v>73</v>
      </c>
      <c r="H92" s="86"/>
      <c r="I92" s="86"/>
      <c r="J92" s="129"/>
    </row>
    <row r="93" spans="1:10" s="125" customFormat="1" ht="16.5" customHeight="1">
      <c r="A93" s="27" t="s">
        <v>20</v>
      </c>
      <c r="B93" s="64">
        <f>B92</f>
        <v>450</v>
      </c>
      <c r="C93" s="94"/>
      <c r="D93" s="61">
        <f>D92</f>
        <v>80</v>
      </c>
      <c r="E93" s="57"/>
      <c r="F93" s="61">
        <f>F92+F91</f>
        <v>20733.2</v>
      </c>
      <c r="G93" s="102"/>
      <c r="H93" s="86"/>
      <c r="I93" s="86"/>
      <c r="J93" s="129"/>
    </row>
    <row r="94" spans="1:10" s="125" customFormat="1" ht="51" customHeight="1">
      <c r="A94" s="21" t="s">
        <v>59</v>
      </c>
      <c r="B94" s="63">
        <f>6220+50+12150</f>
        <v>18420</v>
      </c>
      <c r="C94" s="40" t="s">
        <v>148</v>
      </c>
      <c r="D94" s="63">
        <v>80</v>
      </c>
      <c r="E94" s="59" t="s">
        <v>147</v>
      </c>
      <c r="F94" s="59">
        <v>1160</v>
      </c>
      <c r="G94" s="97" t="s">
        <v>110</v>
      </c>
      <c r="H94" s="86"/>
      <c r="I94" s="86"/>
      <c r="J94" s="129"/>
    </row>
    <row r="95" spans="1:10" s="125" customFormat="1" ht="16.5" customHeight="1">
      <c r="A95" s="27" t="s">
        <v>20</v>
      </c>
      <c r="B95" s="64">
        <f>B94</f>
        <v>18420</v>
      </c>
      <c r="C95" s="94"/>
      <c r="D95" s="61">
        <f>D94</f>
        <v>80</v>
      </c>
      <c r="E95" s="57"/>
      <c r="F95" s="61">
        <f>F94</f>
        <v>1160</v>
      </c>
      <c r="G95" s="102"/>
      <c r="H95" s="86"/>
      <c r="I95" s="86"/>
      <c r="J95" s="129"/>
    </row>
    <row r="96" spans="1:10" s="125" customFormat="1" ht="53.25" customHeight="1">
      <c r="A96" s="21" t="s">
        <v>50</v>
      </c>
      <c r="B96" s="63"/>
      <c r="C96" s="40"/>
      <c r="D96" s="63">
        <v>30</v>
      </c>
      <c r="E96" s="59" t="s">
        <v>147</v>
      </c>
      <c r="F96" s="59">
        <v>43.5</v>
      </c>
      <c r="G96" s="97" t="s">
        <v>110</v>
      </c>
      <c r="H96" s="86"/>
      <c r="I96" s="86"/>
      <c r="J96" s="129"/>
    </row>
    <row r="97" spans="1:10" s="125" customFormat="1" ht="16.5" customHeight="1">
      <c r="A97" s="27" t="s">
        <v>20</v>
      </c>
      <c r="B97" s="64">
        <f>SUM(B96)</f>
        <v>0</v>
      </c>
      <c r="C97" s="94"/>
      <c r="D97" s="61">
        <f>D96</f>
        <v>30</v>
      </c>
      <c r="E97" s="57"/>
      <c r="F97" s="61">
        <f>F96</f>
        <v>43.5</v>
      </c>
      <c r="G97" s="102"/>
      <c r="H97" s="86"/>
      <c r="I97" s="86"/>
      <c r="J97" s="129"/>
    </row>
    <row r="98" spans="1:10" s="125" customFormat="1" ht="53.25" customHeight="1">
      <c r="A98" s="21" t="s">
        <v>60</v>
      </c>
      <c r="B98" s="63"/>
      <c r="C98" s="40" t="s">
        <v>84</v>
      </c>
      <c r="D98" s="63">
        <v>30</v>
      </c>
      <c r="E98" s="59" t="s">
        <v>147</v>
      </c>
      <c r="F98" s="59"/>
      <c r="G98" s="97"/>
      <c r="H98" s="86"/>
      <c r="I98" s="86"/>
      <c r="J98" s="129"/>
    </row>
    <row r="99" spans="1:10" s="125" customFormat="1" ht="53.25" customHeight="1">
      <c r="A99" s="21" t="s">
        <v>60</v>
      </c>
      <c r="B99" s="63">
        <f>1910+2376+1010</f>
        <v>5296</v>
      </c>
      <c r="C99" s="40" t="s">
        <v>149</v>
      </c>
      <c r="D99" s="63">
        <v>15998</v>
      </c>
      <c r="E99" s="44" t="s">
        <v>140</v>
      </c>
      <c r="F99" s="59">
        <v>609</v>
      </c>
      <c r="G99" s="97" t="s">
        <v>110</v>
      </c>
      <c r="H99" s="86"/>
      <c r="I99" s="86"/>
      <c r="J99" s="129"/>
    </row>
    <row r="100" spans="1:10" s="125" customFormat="1" ht="16.5" customHeight="1">
      <c r="A100" s="27" t="s">
        <v>20</v>
      </c>
      <c r="B100" s="64">
        <f>SUM(B99)</f>
        <v>5296</v>
      </c>
      <c r="C100" s="94"/>
      <c r="D100" s="61">
        <f>SUM(D98:D99)</f>
        <v>16028</v>
      </c>
      <c r="E100" s="57"/>
      <c r="F100" s="61">
        <f>F99</f>
        <v>609</v>
      </c>
      <c r="G100" s="102"/>
      <c r="H100" s="86"/>
      <c r="I100" s="86"/>
      <c r="J100" s="129"/>
    </row>
    <row r="101" spans="1:10" s="125" customFormat="1" ht="55.5" customHeight="1">
      <c r="A101" s="21" t="s">
        <v>61</v>
      </c>
      <c r="B101" s="63">
        <v>24202.67</v>
      </c>
      <c r="C101" s="40" t="s">
        <v>137</v>
      </c>
      <c r="D101" s="63">
        <v>30</v>
      </c>
      <c r="E101" s="59" t="s">
        <v>147</v>
      </c>
      <c r="F101" s="59">
        <v>580</v>
      </c>
      <c r="G101" s="97" t="s">
        <v>110</v>
      </c>
      <c r="H101" s="86"/>
      <c r="I101" s="86"/>
      <c r="J101" s="129"/>
    </row>
    <row r="102" spans="1:10" s="125" customFormat="1" ht="16.5" customHeight="1">
      <c r="A102" s="27" t="s">
        <v>20</v>
      </c>
      <c r="B102" s="64">
        <f>B101</f>
        <v>24202.67</v>
      </c>
      <c r="C102" s="94"/>
      <c r="D102" s="61">
        <f>D101</f>
        <v>30</v>
      </c>
      <c r="E102" s="57"/>
      <c r="F102" s="61">
        <f>F101</f>
        <v>580</v>
      </c>
      <c r="G102" s="102"/>
      <c r="H102" s="86"/>
      <c r="I102" s="86"/>
      <c r="J102" s="129"/>
    </row>
    <row r="103" spans="1:10" s="125" customFormat="1" ht="55.5" customHeight="1">
      <c r="A103" s="448" t="s">
        <v>62</v>
      </c>
      <c r="B103" s="64"/>
      <c r="C103" s="94"/>
      <c r="D103" s="142">
        <v>30</v>
      </c>
      <c r="E103" s="59" t="s">
        <v>147</v>
      </c>
      <c r="F103" s="61">
        <v>1200</v>
      </c>
      <c r="G103" s="97" t="s">
        <v>109</v>
      </c>
      <c r="H103" s="86"/>
      <c r="I103" s="86"/>
      <c r="J103" s="129"/>
    </row>
    <row r="104" spans="1:10" s="125" customFormat="1" ht="74.25" customHeight="1">
      <c r="A104" s="449"/>
      <c r="B104" s="63">
        <f>33715+16900+31300</f>
        <v>81915</v>
      </c>
      <c r="C104" s="40" t="s">
        <v>105</v>
      </c>
      <c r="D104" s="63">
        <v>595000</v>
      </c>
      <c r="E104" s="44" t="s">
        <v>101</v>
      </c>
      <c r="F104" s="59">
        <v>1464.5</v>
      </c>
      <c r="G104" s="97" t="s">
        <v>110</v>
      </c>
      <c r="H104" s="86"/>
      <c r="I104" s="86"/>
      <c r="J104" s="129"/>
    </row>
    <row r="105" spans="1:10" s="125" customFormat="1" ht="16.5" customHeight="1">
      <c r="A105" s="27" t="s">
        <v>20</v>
      </c>
      <c r="B105" s="64">
        <f>SUM(B104)</f>
        <v>81915</v>
      </c>
      <c r="C105" s="94"/>
      <c r="D105" s="64">
        <f>SUM(D103:D104)</f>
        <v>595030</v>
      </c>
      <c r="E105" s="57"/>
      <c r="F105" s="61">
        <f>F104+F103</f>
        <v>2664.5</v>
      </c>
      <c r="G105" s="102"/>
      <c r="H105" s="86"/>
      <c r="I105" s="86"/>
      <c r="J105" s="129"/>
    </row>
    <row r="106" spans="1:10" s="125" customFormat="1" ht="52.5" customHeight="1">
      <c r="A106" s="21" t="s">
        <v>46</v>
      </c>
      <c r="B106" s="63">
        <v>10626</v>
      </c>
      <c r="C106" s="40" t="s">
        <v>88</v>
      </c>
      <c r="D106" s="63">
        <v>30</v>
      </c>
      <c r="E106" s="59" t="s">
        <v>147</v>
      </c>
      <c r="F106" s="59">
        <v>797.5</v>
      </c>
      <c r="G106" s="97" t="s">
        <v>110</v>
      </c>
      <c r="H106" s="86"/>
      <c r="I106" s="86"/>
      <c r="J106" s="129"/>
    </row>
    <row r="107" spans="1:10" s="125" customFormat="1" ht="16.5" customHeight="1">
      <c r="A107" s="27" t="s">
        <v>20</v>
      </c>
      <c r="B107" s="64">
        <f>B106</f>
        <v>10626</v>
      </c>
      <c r="C107" s="94"/>
      <c r="D107" s="61">
        <f>D106</f>
        <v>30</v>
      </c>
      <c r="E107" s="57"/>
      <c r="F107" s="61">
        <f>F106</f>
        <v>797.5</v>
      </c>
      <c r="G107" s="102"/>
      <c r="H107" s="86"/>
      <c r="I107" s="86"/>
      <c r="J107" s="129"/>
    </row>
    <row r="108" spans="1:10" s="125" customFormat="1" ht="54.75" customHeight="1">
      <c r="A108" s="21" t="s">
        <v>63</v>
      </c>
      <c r="B108" s="63"/>
      <c r="C108" s="40" t="s">
        <v>84</v>
      </c>
      <c r="D108" s="63">
        <v>30</v>
      </c>
      <c r="E108" s="59" t="s">
        <v>147</v>
      </c>
      <c r="F108" s="59"/>
      <c r="G108" s="97"/>
      <c r="H108" s="86"/>
      <c r="I108" s="86"/>
      <c r="J108" s="129"/>
    </row>
    <row r="109" spans="1:10" s="125" customFormat="1" ht="54.75" customHeight="1">
      <c r="A109" s="21" t="s">
        <v>63</v>
      </c>
      <c r="B109" s="63"/>
      <c r="C109" s="40" t="s">
        <v>150</v>
      </c>
      <c r="D109" s="63">
        <v>9823</v>
      </c>
      <c r="E109" s="44" t="s">
        <v>140</v>
      </c>
      <c r="F109" s="59"/>
      <c r="G109" s="97"/>
      <c r="H109" s="86"/>
      <c r="I109" s="86"/>
      <c r="J109" s="129"/>
    </row>
    <row r="110" spans="1:10" s="125" customFormat="1" ht="54.75" customHeight="1">
      <c r="A110" s="21" t="s">
        <v>63</v>
      </c>
      <c r="B110" s="63">
        <f>59077.12+4767.19+11654</f>
        <v>75498.31</v>
      </c>
      <c r="C110" s="40" t="s">
        <v>92</v>
      </c>
      <c r="D110" s="63">
        <v>686945.25</v>
      </c>
      <c r="E110" s="44" t="s">
        <v>101</v>
      </c>
      <c r="F110" s="59">
        <v>826.5</v>
      </c>
      <c r="G110" s="97" t="s">
        <v>110</v>
      </c>
      <c r="H110" s="86"/>
      <c r="I110" s="86"/>
      <c r="J110" s="129"/>
    </row>
    <row r="111" spans="1:10" s="125" customFormat="1" ht="16.5" customHeight="1">
      <c r="A111" s="27" t="s">
        <v>20</v>
      </c>
      <c r="B111" s="64">
        <f>B110</f>
        <v>75498.31</v>
      </c>
      <c r="C111" s="94"/>
      <c r="D111" s="64">
        <f>SUM(D108:D110)</f>
        <v>696798.25</v>
      </c>
      <c r="E111" s="57"/>
      <c r="F111" s="61">
        <f>F110</f>
        <v>826.5</v>
      </c>
      <c r="G111" s="102"/>
      <c r="H111" s="86"/>
      <c r="I111" s="86"/>
      <c r="J111" s="129"/>
    </row>
    <row r="112" spans="1:10" s="125" customFormat="1" ht="59.25" customHeight="1">
      <c r="A112" s="26" t="s">
        <v>111</v>
      </c>
      <c r="B112" s="64"/>
      <c r="C112" s="94"/>
      <c r="D112" s="140"/>
      <c r="E112" s="57"/>
      <c r="F112" s="61"/>
      <c r="G112" s="102"/>
      <c r="H112" s="45">
        <v>28000</v>
      </c>
      <c r="I112" s="97" t="s">
        <v>112</v>
      </c>
      <c r="J112" s="129"/>
    </row>
    <row r="113" spans="1:10" s="125" customFormat="1" ht="16.5" customHeight="1">
      <c r="A113" s="27" t="s">
        <v>20</v>
      </c>
      <c r="B113" s="64"/>
      <c r="C113" s="94"/>
      <c r="D113" s="140"/>
      <c r="E113" s="57"/>
      <c r="F113" s="61"/>
      <c r="G113" s="102"/>
      <c r="H113" s="74">
        <f>H112</f>
        <v>28000</v>
      </c>
      <c r="I113" s="86"/>
      <c r="J113" s="129"/>
    </row>
    <row r="114" spans="1:10" s="125" customFormat="1" ht="43.5" customHeight="1">
      <c r="A114" s="21" t="s">
        <v>53</v>
      </c>
      <c r="B114" s="63"/>
      <c r="C114" s="40"/>
      <c r="D114" s="63"/>
      <c r="E114" s="62"/>
      <c r="F114" s="59"/>
      <c r="G114" s="102"/>
      <c r="H114" s="86"/>
      <c r="I114" s="86"/>
      <c r="J114" s="129"/>
    </row>
    <row r="115" spans="1:10" s="125" customFormat="1" ht="16.5" customHeight="1">
      <c r="A115" s="27" t="s">
        <v>20</v>
      </c>
      <c r="B115" s="64">
        <f>B114</f>
        <v>0</v>
      </c>
      <c r="C115" s="94"/>
      <c r="D115" s="60"/>
      <c r="E115" s="57"/>
      <c r="F115" s="61"/>
      <c r="G115" s="102"/>
      <c r="H115" s="86"/>
      <c r="I115" s="86"/>
      <c r="J115" s="129"/>
    </row>
    <row r="116" spans="1:10" s="125" customFormat="1" ht="37.5" customHeight="1">
      <c r="A116" s="21" t="s">
        <v>54</v>
      </c>
      <c r="B116" s="63">
        <f>1469.62+120</f>
        <v>1589.62</v>
      </c>
      <c r="C116" s="40" t="s">
        <v>151</v>
      </c>
      <c r="D116" s="63"/>
      <c r="E116" s="62"/>
      <c r="F116" s="59"/>
      <c r="G116" s="103"/>
      <c r="H116" s="86"/>
      <c r="I116" s="86"/>
      <c r="J116" s="129"/>
    </row>
    <row r="117" spans="1:10" s="125" customFormat="1" ht="16.5" customHeight="1">
      <c r="A117" s="27" t="s">
        <v>20</v>
      </c>
      <c r="B117" s="64">
        <f>B116</f>
        <v>1589.62</v>
      </c>
      <c r="C117" s="94"/>
      <c r="D117" s="60"/>
      <c r="E117" s="57"/>
      <c r="F117" s="61"/>
      <c r="G117" s="102"/>
      <c r="H117" s="86"/>
      <c r="I117" s="86"/>
      <c r="J117" s="129"/>
    </row>
    <row r="118" spans="1:10" s="125" customFormat="1" ht="33.75" customHeight="1">
      <c r="A118" s="21" t="s">
        <v>103</v>
      </c>
      <c r="B118" s="63">
        <v>2435</v>
      </c>
      <c r="C118" s="40" t="s">
        <v>104</v>
      </c>
      <c r="D118" s="63"/>
      <c r="E118" s="62"/>
      <c r="F118" s="59"/>
      <c r="G118" s="103"/>
      <c r="H118" s="86"/>
      <c r="I118" s="86"/>
      <c r="J118" s="129"/>
    </row>
    <row r="119" spans="1:10" s="125" customFormat="1" ht="16.5" customHeight="1">
      <c r="A119" s="27" t="s">
        <v>20</v>
      </c>
      <c r="B119" s="64">
        <f>B118</f>
        <v>2435</v>
      </c>
      <c r="C119" s="94"/>
      <c r="D119" s="60"/>
      <c r="E119" s="57"/>
      <c r="F119" s="61"/>
      <c r="G119" s="102"/>
      <c r="H119" s="86"/>
      <c r="I119" s="86"/>
      <c r="J119" s="129"/>
    </row>
    <row r="120" spans="1:10" s="125" customFormat="1" ht="19.5" customHeight="1">
      <c r="A120" s="21" t="s">
        <v>67</v>
      </c>
      <c r="B120" s="63"/>
      <c r="C120" s="40"/>
      <c r="D120" s="63"/>
      <c r="E120" s="62"/>
      <c r="F120" s="59"/>
      <c r="G120" s="103"/>
      <c r="H120" s="86"/>
      <c r="I120" s="86"/>
      <c r="J120" s="129"/>
    </row>
    <row r="121" spans="1:10" s="125" customFormat="1" ht="16.5" customHeight="1">
      <c r="A121" s="27" t="s">
        <v>20</v>
      </c>
      <c r="B121" s="64">
        <f>SUM(B120)</f>
        <v>0</v>
      </c>
      <c r="C121" s="94"/>
      <c r="D121" s="60"/>
      <c r="E121" s="57"/>
      <c r="F121" s="61"/>
      <c r="G121" s="102"/>
      <c r="H121" s="86"/>
      <c r="I121" s="86"/>
      <c r="J121" s="129"/>
    </row>
    <row r="122" spans="1:10" s="125" customFormat="1" ht="19.5" customHeight="1">
      <c r="A122" s="21" t="s">
        <v>64</v>
      </c>
      <c r="B122" s="63">
        <f>1003.8+30.87</f>
        <v>1034.6699999999998</v>
      </c>
      <c r="C122" s="40" t="s">
        <v>138</v>
      </c>
      <c r="D122" s="63"/>
      <c r="E122" s="62"/>
      <c r="F122" s="59"/>
      <c r="G122" s="103"/>
      <c r="H122" s="86"/>
      <c r="I122" s="86"/>
      <c r="J122" s="129"/>
    </row>
    <row r="123" spans="1:10" s="125" customFormat="1" ht="16.5" customHeight="1">
      <c r="A123" s="27" t="s">
        <v>20</v>
      </c>
      <c r="B123" s="64">
        <f>B122</f>
        <v>1034.6699999999998</v>
      </c>
      <c r="C123" s="94"/>
      <c r="D123" s="60"/>
      <c r="E123" s="57"/>
      <c r="F123" s="61"/>
      <c r="G123" s="102"/>
      <c r="H123" s="86"/>
      <c r="I123" s="86"/>
      <c r="J123" s="129"/>
    </row>
    <row r="124" spans="1:10" s="125" customFormat="1" ht="25.5" customHeight="1" thickBot="1">
      <c r="A124" s="27" t="s">
        <v>20</v>
      </c>
      <c r="B124" s="28"/>
      <c r="C124" s="94"/>
      <c r="D124" s="63"/>
      <c r="E124" s="57"/>
      <c r="F124" s="61"/>
      <c r="G124" s="102"/>
      <c r="H124" s="86"/>
      <c r="I124" s="86"/>
      <c r="J124" s="129"/>
    </row>
    <row r="125" spans="1:9" s="130" customFormat="1" ht="77.25" customHeight="1" thickBot="1">
      <c r="A125" s="67" t="s">
        <v>70</v>
      </c>
      <c r="B125" s="68">
        <f>SUM(B52+B54+B56+B58+B60+B62+B64+B76+B78+B80+B84+B87+B90+B93+B95+B97+B100+B102+B105+B107+B111+B115+B117+B119+B121+B123+B124)</f>
        <v>686091.78</v>
      </c>
      <c r="C125" s="68"/>
      <c r="D125" s="68">
        <f>SUM(D56+D58+D60+D62+D64+D76+D78+D80+D84+D87+D90+D93+D95+D97+D100+D102+D105+D107+D111)</f>
        <v>1533869.85</v>
      </c>
      <c r="E125" s="68"/>
      <c r="F125" s="68">
        <f>F54+F58+F60+F62+F64+F76+F78+F87+F90+F93+F95+F97+F100+F102+F105+F107+F111+F124+F56+F84+F80</f>
        <v>41806.2</v>
      </c>
      <c r="G125" s="104"/>
      <c r="H125" s="68">
        <f>H113</f>
        <v>28000</v>
      </c>
      <c r="I125" s="68"/>
    </row>
    <row r="126" spans="1:9" s="130" customFormat="1" ht="93.75" customHeight="1" thickBot="1">
      <c r="A126" s="69" t="s">
        <v>69</v>
      </c>
      <c r="B126" s="70">
        <f>SUM(B50+B125)</f>
        <v>1285845.53</v>
      </c>
      <c r="C126" s="70"/>
      <c r="D126" s="70">
        <f>D125+D50</f>
        <v>1533869.85</v>
      </c>
      <c r="E126" s="70"/>
      <c r="F126" s="70">
        <f>F50+F125</f>
        <v>51163.2</v>
      </c>
      <c r="G126" s="105"/>
      <c r="H126" s="70">
        <f>H50+H125</f>
        <v>28000</v>
      </c>
      <c r="I126" s="70"/>
    </row>
    <row r="127" spans="1:10" s="8" customFormat="1" ht="24" customHeight="1" thickBot="1">
      <c r="A127" s="108"/>
      <c r="B127" s="108"/>
      <c r="C127" s="108"/>
      <c r="D127" s="88"/>
      <c r="E127" s="89"/>
      <c r="F127" s="88"/>
      <c r="G127" s="88"/>
      <c r="H127" s="71"/>
      <c r="I127" s="71"/>
      <c r="J127" s="7"/>
    </row>
    <row r="128" spans="1:10" s="8" customFormat="1" ht="24" customHeight="1">
      <c r="A128" s="108" t="s">
        <v>155</v>
      </c>
      <c r="B128" s="89"/>
      <c r="C128" s="89"/>
      <c r="D128" s="88"/>
      <c r="E128" s="89"/>
      <c r="F128" s="88"/>
      <c r="G128" s="89" t="s">
        <v>95</v>
      </c>
      <c r="H128" s="71"/>
      <c r="I128" s="71"/>
      <c r="J128" s="7"/>
    </row>
    <row r="129" spans="1:10" ht="15.75" customHeight="1">
      <c r="A129" s="90"/>
      <c r="B129" s="90"/>
      <c r="C129" s="91"/>
      <c r="D129" s="92"/>
      <c r="E129" s="93"/>
      <c r="F129" s="90"/>
      <c r="G129" s="90"/>
      <c r="H129" s="73"/>
      <c r="I129" s="73"/>
      <c r="J129" s="2"/>
    </row>
    <row r="130" spans="1:10" ht="11.25" customHeight="1">
      <c r="A130" s="90"/>
      <c r="B130" s="90"/>
      <c r="C130" s="91"/>
      <c r="D130" s="92"/>
      <c r="E130" s="93"/>
      <c r="F130" s="90"/>
      <c r="G130" s="90"/>
      <c r="H130" s="73"/>
      <c r="I130" s="73"/>
      <c r="J130" s="2"/>
    </row>
    <row r="131" spans="1:10" ht="20.25" customHeight="1">
      <c r="A131" s="90" t="s">
        <v>35</v>
      </c>
      <c r="B131" s="90"/>
      <c r="C131" s="91"/>
      <c r="D131" s="92"/>
      <c r="E131" s="93"/>
      <c r="F131" s="90"/>
      <c r="G131" s="90" t="s">
        <v>106</v>
      </c>
      <c r="H131" s="73"/>
      <c r="I131" s="73"/>
      <c r="J131" s="2"/>
    </row>
    <row r="132" spans="1:10" ht="20.25" customHeight="1">
      <c r="A132" s="90"/>
      <c r="B132" s="90"/>
      <c r="C132" s="91"/>
      <c r="D132" s="92"/>
      <c r="E132" s="93"/>
      <c r="F132" s="90"/>
      <c r="G132" s="90"/>
      <c r="H132" s="73"/>
      <c r="I132" s="73"/>
      <c r="J132" s="2"/>
    </row>
    <row r="133" spans="1:10" ht="13.5" customHeight="1">
      <c r="A133" s="91" t="s">
        <v>113</v>
      </c>
      <c r="B133" s="92"/>
      <c r="C133" s="91"/>
      <c r="D133" s="92"/>
      <c r="E133" s="90"/>
      <c r="F133" s="92"/>
      <c r="G133" s="92"/>
      <c r="H133" s="73"/>
      <c r="I133" s="73"/>
      <c r="J133" s="2"/>
    </row>
    <row r="134" spans="1:10" ht="13.5" customHeight="1">
      <c r="A134" s="91" t="s">
        <v>65</v>
      </c>
      <c r="B134" s="92"/>
      <c r="C134" s="91"/>
      <c r="D134" s="92"/>
      <c r="E134" s="90"/>
      <c r="F134" s="92"/>
      <c r="G134" s="92"/>
      <c r="H134" s="73"/>
      <c r="I134" s="73"/>
      <c r="J134" s="2"/>
    </row>
    <row r="135" spans="1:10" ht="14.25" customHeight="1">
      <c r="A135" s="91"/>
      <c r="B135" s="92"/>
      <c r="C135" s="91"/>
      <c r="D135" s="92"/>
      <c r="E135" s="90"/>
      <c r="F135" s="92"/>
      <c r="G135" s="92"/>
      <c r="H135" s="73"/>
      <c r="I135" s="73"/>
      <c r="J135" s="2"/>
    </row>
    <row r="136" spans="1:10" ht="20.25" customHeight="1">
      <c r="A136" s="91" t="s">
        <v>25</v>
      </c>
      <c r="B136" s="92"/>
      <c r="C136" s="91"/>
      <c r="D136" s="92"/>
      <c r="E136" s="90"/>
      <c r="F136" s="92"/>
      <c r="G136" s="92"/>
      <c r="H136" s="73"/>
      <c r="I136" s="73"/>
      <c r="J136" s="2"/>
    </row>
    <row r="137" spans="1:10" ht="20.25" customHeight="1">
      <c r="A137" s="91" t="s">
        <v>107</v>
      </c>
      <c r="B137" s="92"/>
      <c r="C137" s="91"/>
      <c r="D137" s="92"/>
      <c r="E137" s="90"/>
      <c r="F137" s="92"/>
      <c r="G137" s="92"/>
      <c r="H137" s="73"/>
      <c r="I137" s="73"/>
      <c r="J137" s="2"/>
    </row>
    <row r="138" spans="1:10" ht="12" customHeight="1">
      <c r="A138" s="2"/>
      <c r="B138" s="2"/>
      <c r="C138" s="6"/>
      <c r="D138" s="2"/>
      <c r="E138" s="2"/>
      <c r="F138" s="2"/>
      <c r="G138" s="2"/>
      <c r="H138" s="2"/>
      <c r="I138" s="2"/>
      <c r="J138" s="2"/>
    </row>
    <row r="139" spans="1:10" ht="15">
      <c r="A139" s="2"/>
      <c r="B139" s="2"/>
      <c r="C139" s="6"/>
      <c r="D139" s="2"/>
      <c r="E139" s="2"/>
      <c r="F139" s="2"/>
      <c r="G139" s="2"/>
      <c r="H139" s="2"/>
      <c r="I139" s="2"/>
      <c r="J139" s="2"/>
    </row>
    <row r="140" spans="1:9" ht="15">
      <c r="A140" s="3"/>
      <c r="B140" s="2"/>
      <c r="C140" s="6"/>
      <c r="D140" s="2"/>
      <c r="E140" s="2"/>
      <c r="F140" s="2"/>
      <c r="G140" s="2"/>
      <c r="H140" s="2"/>
      <c r="I140" s="2"/>
    </row>
  </sheetData>
  <sheetProtection/>
  <mergeCells count="51">
    <mergeCell ref="E23:E24"/>
    <mergeCell ref="A6:I6"/>
    <mergeCell ref="A7:I7"/>
    <mergeCell ref="F23:F24"/>
    <mergeCell ref="G23:G24"/>
    <mergeCell ref="H23:H24"/>
    <mergeCell ref="I23:I24"/>
    <mergeCell ref="A8:A11"/>
    <mergeCell ref="B8:E8"/>
    <mergeCell ref="F8:I8"/>
    <mergeCell ref="B9:C10"/>
    <mergeCell ref="G1:I1"/>
    <mergeCell ref="G3:I3"/>
    <mergeCell ref="G4:I4"/>
    <mergeCell ref="A5:I5"/>
    <mergeCell ref="H2:I2"/>
    <mergeCell ref="D9:E10"/>
    <mergeCell ref="F9:G10"/>
    <mergeCell ref="H9:I10"/>
    <mergeCell ref="C28:C30"/>
    <mergeCell ref="D23:D24"/>
    <mergeCell ref="A31:A32"/>
    <mergeCell ref="B31:B32"/>
    <mergeCell ref="A12:A13"/>
    <mergeCell ref="B12:B13"/>
    <mergeCell ref="A28:A29"/>
    <mergeCell ref="B28:B29"/>
    <mergeCell ref="B23:B24"/>
    <mergeCell ref="A23:A24"/>
    <mergeCell ref="C15:C16"/>
    <mergeCell ref="C17:C18"/>
    <mergeCell ref="C21:C22"/>
    <mergeCell ref="C26:C27"/>
    <mergeCell ref="C19:C20"/>
    <mergeCell ref="C12:C14"/>
    <mergeCell ref="C44:C45"/>
    <mergeCell ref="C46:C47"/>
    <mergeCell ref="C32:C33"/>
    <mergeCell ref="C34:C35"/>
    <mergeCell ref="C36:C37"/>
    <mergeCell ref="C38:C39"/>
    <mergeCell ref="A91:A92"/>
    <mergeCell ref="A85:A86"/>
    <mergeCell ref="A103:A104"/>
    <mergeCell ref="C63:C64"/>
    <mergeCell ref="C48:C49"/>
    <mergeCell ref="C23:C25"/>
    <mergeCell ref="C51:C52"/>
    <mergeCell ref="C53:C54"/>
    <mergeCell ref="C40:C41"/>
    <mergeCell ref="C42:C43"/>
  </mergeCells>
  <printOptions/>
  <pageMargins left="0.7874015748031497" right="0.3937007874015748" top="0.3937007874015748" bottom="0.3937007874015748" header="0.31496062992125984" footer="0.31496062992125984"/>
  <pageSetup horizontalDpi="180" verticalDpi="180" orientation="portrait" paperSize="9" scale="38" r:id="rId1"/>
  <rowBreaks count="2" manualBreakCount="2">
    <brk id="88" max="7" man="1"/>
    <brk id="175" max="8" man="1"/>
  </rowBreaks>
</worksheet>
</file>

<file path=xl/worksheets/sheet16.xml><?xml version="1.0" encoding="utf-8"?>
<worksheet xmlns="http://schemas.openxmlformats.org/spreadsheetml/2006/main" xmlns:r="http://schemas.openxmlformats.org/officeDocument/2006/relationships">
  <dimension ref="A1:K134"/>
  <sheetViews>
    <sheetView showGridLines="0" zoomScale="75" zoomScaleNormal="75" zoomScaleSheetLayoutView="75" zoomScalePageLayoutView="0" workbookViewId="0" topLeftCell="A58">
      <selection activeCell="D101" sqref="D101"/>
    </sheetView>
  </sheetViews>
  <sheetFormatPr defaultColWidth="9.140625" defaultRowHeight="15"/>
  <cols>
    <col min="1" max="1" width="16.7109375" style="1" customWidth="1"/>
    <col min="2" max="2" width="21.7109375" style="1" customWidth="1"/>
    <col min="3" max="3" width="27.7109375" style="5" customWidth="1"/>
    <col min="4" max="4" width="17.28125" style="1" customWidth="1"/>
    <col min="5" max="5" width="16.00390625" style="1" customWidth="1"/>
    <col min="6" max="6" width="16.140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480" t="s">
        <v>75</v>
      </c>
      <c r="H1" s="480"/>
      <c r="I1" s="480"/>
    </row>
    <row r="2" spans="3:9" ht="18" customHeight="1">
      <c r="C2" s="1"/>
      <c r="G2" s="107"/>
      <c r="H2" s="480" t="s">
        <v>74</v>
      </c>
      <c r="I2" s="480"/>
    </row>
    <row r="3" spans="3:9" ht="16.5" customHeight="1">
      <c r="C3" s="1"/>
      <c r="G3" s="480" t="s">
        <v>76</v>
      </c>
      <c r="H3" s="480"/>
      <c r="I3" s="480"/>
    </row>
    <row r="4" spans="3:9" ht="15.75">
      <c r="C4" s="1"/>
      <c r="G4" s="363"/>
      <c r="H4" s="363"/>
      <c r="I4" s="363"/>
    </row>
    <row r="5" spans="1:9" ht="15.75">
      <c r="A5" s="364" t="s">
        <v>26</v>
      </c>
      <c r="B5" s="364"/>
      <c r="C5" s="364"/>
      <c r="D5" s="364"/>
      <c r="E5" s="364"/>
      <c r="F5" s="364"/>
      <c r="G5" s="364"/>
      <c r="H5" s="364"/>
      <c r="I5" s="364"/>
    </row>
    <row r="6" spans="1:9" ht="15.75">
      <c r="A6" s="364" t="s">
        <v>139</v>
      </c>
      <c r="B6" s="364"/>
      <c r="C6" s="364"/>
      <c r="D6" s="364"/>
      <c r="E6" s="364"/>
      <c r="F6" s="364"/>
      <c r="G6" s="364"/>
      <c r="H6" s="364"/>
      <c r="I6" s="364"/>
    </row>
    <row r="7" spans="1:9" s="4" customFormat="1" ht="15.75">
      <c r="A7" s="364" t="s">
        <v>27</v>
      </c>
      <c r="B7" s="364"/>
      <c r="C7" s="364"/>
      <c r="D7" s="364"/>
      <c r="E7" s="364"/>
      <c r="F7" s="364"/>
      <c r="G7" s="364"/>
      <c r="H7" s="364"/>
      <c r="I7" s="364"/>
    </row>
    <row r="8" spans="1:10" s="122" customFormat="1" ht="16.5" customHeight="1">
      <c r="A8" s="420" t="s">
        <v>28</v>
      </c>
      <c r="B8" s="420" t="s">
        <v>0</v>
      </c>
      <c r="C8" s="420"/>
      <c r="D8" s="420"/>
      <c r="E8" s="420"/>
      <c r="F8" s="458" t="s">
        <v>1</v>
      </c>
      <c r="G8" s="459"/>
      <c r="H8" s="459"/>
      <c r="I8" s="460"/>
      <c r="J8" s="121"/>
    </row>
    <row r="9" spans="1:10" s="122" customFormat="1" ht="13.5" customHeight="1">
      <c r="A9" s="420"/>
      <c r="B9" s="420" t="s">
        <v>2</v>
      </c>
      <c r="C9" s="420"/>
      <c r="D9" s="420" t="s">
        <v>23</v>
      </c>
      <c r="E9" s="420"/>
      <c r="F9" s="452" t="s">
        <v>2</v>
      </c>
      <c r="G9" s="461"/>
      <c r="H9" s="452" t="s">
        <v>3</v>
      </c>
      <c r="I9" s="453"/>
      <c r="J9" s="121"/>
    </row>
    <row r="10" spans="1:10" s="122" customFormat="1" ht="18" customHeight="1">
      <c r="A10" s="420"/>
      <c r="B10" s="420"/>
      <c r="C10" s="420"/>
      <c r="D10" s="420"/>
      <c r="E10" s="420"/>
      <c r="F10" s="462"/>
      <c r="G10" s="463"/>
      <c r="H10" s="454"/>
      <c r="I10" s="455"/>
      <c r="J10" s="121"/>
    </row>
    <row r="11" spans="1:10" s="122" customFormat="1" ht="67.5" customHeight="1">
      <c r="A11" s="420"/>
      <c r="B11" s="19" t="s">
        <v>22</v>
      </c>
      <c r="C11" s="20" t="s">
        <v>4</v>
      </c>
      <c r="D11" s="19" t="s">
        <v>22</v>
      </c>
      <c r="E11" s="19" t="s">
        <v>5</v>
      </c>
      <c r="F11" s="19" t="s">
        <v>22</v>
      </c>
      <c r="G11" s="19" t="s">
        <v>4</v>
      </c>
      <c r="H11" s="19" t="s">
        <v>22</v>
      </c>
      <c r="I11" s="19" t="s">
        <v>6</v>
      </c>
      <c r="J11" s="121"/>
    </row>
    <row r="12" spans="1:10" s="122" customFormat="1" ht="34.5" customHeight="1">
      <c r="A12" s="448" t="s">
        <v>24</v>
      </c>
      <c r="B12" s="481">
        <f>16314.9+9550</f>
        <v>25864.9</v>
      </c>
      <c r="C12" s="444" t="s">
        <v>132</v>
      </c>
      <c r="D12" s="23"/>
      <c r="E12" s="24"/>
      <c r="F12" s="25"/>
      <c r="G12" s="97"/>
      <c r="H12" s="26"/>
      <c r="I12" s="26"/>
      <c r="J12" s="121"/>
    </row>
    <row r="13" spans="1:10" s="122" customFormat="1" ht="10.5" customHeight="1" hidden="1">
      <c r="A13" s="449"/>
      <c r="B13" s="482"/>
      <c r="C13" s="468"/>
      <c r="D13" s="23"/>
      <c r="E13" s="106"/>
      <c r="F13" s="25"/>
      <c r="G13" s="97"/>
      <c r="H13" s="26"/>
      <c r="I13" s="26"/>
      <c r="J13" s="121"/>
    </row>
    <row r="14" spans="1:11" s="125" customFormat="1" ht="24.75" customHeight="1">
      <c r="A14" s="27" t="s">
        <v>19</v>
      </c>
      <c r="B14" s="28">
        <f>SUM(B12:B13)</f>
        <v>25864.9</v>
      </c>
      <c r="C14" s="445"/>
      <c r="D14" s="29"/>
      <c r="E14" s="30"/>
      <c r="F14" s="31"/>
      <c r="G14" s="98"/>
      <c r="H14" s="27"/>
      <c r="I14" s="27"/>
      <c r="J14" s="123"/>
      <c r="K14" s="124"/>
    </row>
    <row r="15" spans="1:11" s="122" customFormat="1" ht="21" customHeight="1">
      <c r="A15" s="21" t="s">
        <v>7</v>
      </c>
      <c r="B15" s="22">
        <f>3392.04+80.4</f>
        <v>3472.44</v>
      </c>
      <c r="C15" s="431" t="s">
        <v>115</v>
      </c>
      <c r="D15" s="32"/>
      <c r="E15" s="33"/>
      <c r="F15" s="25"/>
      <c r="G15" s="97"/>
      <c r="H15" s="26"/>
      <c r="I15" s="26"/>
      <c r="J15" s="121"/>
      <c r="K15" s="126"/>
    </row>
    <row r="16" spans="1:11" s="125" customFormat="1" ht="19.5" customHeight="1">
      <c r="A16" s="27" t="s">
        <v>19</v>
      </c>
      <c r="B16" s="28">
        <f>SUM(B15)</f>
        <v>3472.44</v>
      </c>
      <c r="C16" s="433"/>
      <c r="D16" s="34"/>
      <c r="E16" s="30"/>
      <c r="F16" s="31"/>
      <c r="G16" s="98"/>
      <c r="H16" s="27"/>
      <c r="I16" s="27"/>
      <c r="J16" s="123"/>
      <c r="K16" s="124"/>
    </row>
    <row r="17" spans="1:11" s="125" customFormat="1" ht="20.25" customHeight="1">
      <c r="A17" s="35" t="s">
        <v>32</v>
      </c>
      <c r="B17" s="22">
        <f>91632.87+128</f>
        <v>91760.87</v>
      </c>
      <c r="C17" s="431" t="s">
        <v>123</v>
      </c>
      <c r="D17" s="21"/>
      <c r="E17" s="33"/>
      <c r="F17" s="36">
        <f>7907+1450</f>
        <v>9357</v>
      </c>
      <c r="G17" s="97"/>
      <c r="H17" s="27"/>
      <c r="I17" s="27"/>
      <c r="J17" s="123"/>
      <c r="K17" s="124"/>
    </row>
    <row r="18" spans="1:11" s="125" customFormat="1" ht="35.25" customHeight="1">
      <c r="A18" s="27" t="s">
        <v>19</v>
      </c>
      <c r="B18" s="28">
        <f>SUM(B17)</f>
        <v>91760.87</v>
      </c>
      <c r="C18" s="433"/>
      <c r="D18" s="29"/>
      <c r="E18" s="30"/>
      <c r="F18" s="37">
        <f>F17</f>
        <v>9357</v>
      </c>
      <c r="G18" s="98"/>
      <c r="H18" s="27"/>
      <c r="I18" s="27"/>
      <c r="J18" s="123"/>
      <c r="K18" s="124"/>
    </row>
    <row r="19" spans="1:11" s="122" customFormat="1" ht="21" customHeight="1">
      <c r="A19" s="21" t="s">
        <v>55</v>
      </c>
      <c r="B19" s="22">
        <v>10132</v>
      </c>
      <c r="C19" s="431" t="s">
        <v>96</v>
      </c>
      <c r="D19" s="38"/>
      <c r="E19" s="39"/>
      <c r="F19" s="25"/>
      <c r="G19" s="97"/>
      <c r="H19" s="26"/>
      <c r="I19" s="26"/>
      <c r="J19" s="121"/>
      <c r="K19" s="126"/>
    </row>
    <row r="20" spans="1:11" s="125" customFormat="1" ht="17.25" customHeight="1">
      <c r="A20" s="27" t="s">
        <v>20</v>
      </c>
      <c r="B20" s="28">
        <f>B19</f>
        <v>10132</v>
      </c>
      <c r="C20" s="433"/>
      <c r="D20" s="23"/>
      <c r="E20" s="33"/>
      <c r="F20" s="31"/>
      <c r="G20" s="98"/>
      <c r="H20" s="27"/>
      <c r="I20" s="27"/>
      <c r="J20" s="123"/>
      <c r="K20" s="124"/>
    </row>
    <row r="21" spans="1:11" s="122" customFormat="1" ht="20.25" customHeight="1">
      <c r="A21" s="21" t="s">
        <v>8</v>
      </c>
      <c r="B21" s="22">
        <v>23945</v>
      </c>
      <c r="C21" s="431" t="s">
        <v>116</v>
      </c>
      <c r="D21" s="38"/>
      <c r="E21" s="39"/>
      <c r="F21" s="25"/>
      <c r="G21" s="97"/>
      <c r="H21" s="41"/>
      <c r="I21" s="97"/>
      <c r="J21" s="121"/>
      <c r="K21" s="126"/>
    </row>
    <row r="22" spans="1:11" s="125" customFormat="1" ht="29.25" customHeight="1">
      <c r="A22" s="27" t="s">
        <v>20</v>
      </c>
      <c r="B22" s="28">
        <f>B21</f>
        <v>23945</v>
      </c>
      <c r="C22" s="433"/>
      <c r="D22" s="109"/>
      <c r="E22" s="112"/>
      <c r="F22" s="113"/>
      <c r="G22" s="110"/>
      <c r="H22" s="114">
        <f>H21</f>
        <v>0</v>
      </c>
      <c r="I22" s="115"/>
      <c r="J22" s="123"/>
      <c r="K22" s="124"/>
    </row>
    <row r="23" spans="1:11" s="125" customFormat="1" ht="20.25" customHeight="1">
      <c r="A23" s="448" t="s">
        <v>9</v>
      </c>
      <c r="B23" s="450">
        <f>108539+2800</f>
        <v>111339</v>
      </c>
      <c r="C23" s="431" t="s">
        <v>133</v>
      </c>
      <c r="D23" s="428"/>
      <c r="E23" s="429"/>
      <c r="F23" s="430"/>
      <c r="G23" s="427"/>
      <c r="H23" s="426"/>
      <c r="I23" s="426"/>
      <c r="J23" s="123"/>
      <c r="K23" s="124"/>
    </row>
    <row r="24" spans="1:11" s="125" customFormat="1" ht="8.25" customHeight="1">
      <c r="A24" s="449"/>
      <c r="B24" s="451"/>
      <c r="C24" s="432"/>
      <c r="D24" s="428"/>
      <c r="E24" s="429"/>
      <c r="F24" s="430"/>
      <c r="G24" s="427"/>
      <c r="H24" s="426"/>
      <c r="I24" s="426"/>
      <c r="J24" s="123"/>
      <c r="K24" s="124"/>
    </row>
    <row r="25" spans="1:11" s="125" customFormat="1" ht="38.25" customHeight="1">
      <c r="A25" s="27" t="s">
        <v>20</v>
      </c>
      <c r="B25" s="28">
        <f>SUM(B23:B24)</f>
        <v>111339</v>
      </c>
      <c r="C25" s="433"/>
      <c r="D25" s="23"/>
      <c r="E25" s="119"/>
      <c r="F25" s="74"/>
      <c r="G25" s="98"/>
      <c r="H25" s="60"/>
      <c r="I25" s="60"/>
      <c r="J25" s="123"/>
      <c r="K25" s="124"/>
    </row>
    <row r="26" spans="1:11" s="122" customFormat="1" ht="18" customHeight="1">
      <c r="A26" s="21" t="s">
        <v>10</v>
      </c>
      <c r="B26" s="22">
        <f>27480.35+64.8</f>
        <v>27545.149999999998</v>
      </c>
      <c r="C26" s="431" t="s">
        <v>89</v>
      </c>
      <c r="D26" s="23"/>
      <c r="E26" s="119"/>
      <c r="F26" s="59"/>
      <c r="G26" s="97"/>
      <c r="H26" s="19"/>
      <c r="I26" s="19"/>
      <c r="J26" s="121"/>
      <c r="K26" s="126"/>
    </row>
    <row r="27" spans="1:11" s="125" customFormat="1" ht="16.5" customHeight="1">
      <c r="A27" s="27" t="s">
        <v>20</v>
      </c>
      <c r="B27" s="28">
        <f>SUM(B26)</f>
        <v>27545.149999999998</v>
      </c>
      <c r="C27" s="433"/>
      <c r="D27" s="23"/>
      <c r="E27" s="119"/>
      <c r="F27" s="57"/>
      <c r="G27" s="98"/>
      <c r="H27" s="60"/>
      <c r="I27" s="60"/>
      <c r="J27" s="123"/>
      <c r="K27" s="124"/>
    </row>
    <row r="28" spans="1:10" s="122" customFormat="1" ht="31.5" customHeight="1">
      <c r="A28" s="448" t="s">
        <v>11</v>
      </c>
      <c r="B28" s="450">
        <f>68894.29+24116.8</f>
        <v>93011.09</v>
      </c>
      <c r="C28" s="444" t="s">
        <v>124</v>
      </c>
      <c r="D28" s="23"/>
      <c r="E28" s="119"/>
      <c r="F28" s="75"/>
      <c r="G28" s="97"/>
      <c r="H28" s="19"/>
      <c r="I28" s="19"/>
      <c r="J28" s="121"/>
    </row>
    <row r="29" spans="1:10" s="122" customFormat="1" ht="0.75" customHeight="1" hidden="1">
      <c r="A29" s="449"/>
      <c r="B29" s="451"/>
      <c r="C29" s="468"/>
      <c r="D29" s="23"/>
      <c r="E29" s="119"/>
      <c r="F29" s="75"/>
      <c r="G29" s="97"/>
      <c r="H29" s="19"/>
      <c r="I29" s="19"/>
      <c r="J29" s="121"/>
    </row>
    <row r="30" spans="1:10" s="125" customFormat="1" ht="16.5" customHeight="1">
      <c r="A30" s="27" t="s">
        <v>20</v>
      </c>
      <c r="B30" s="28">
        <f>SUM(B28:B29)</f>
        <v>93011.09</v>
      </c>
      <c r="C30" s="445"/>
      <c r="D30" s="19"/>
      <c r="E30" s="43"/>
      <c r="F30" s="74"/>
      <c r="G30" s="98"/>
      <c r="H30" s="60"/>
      <c r="I30" s="60"/>
      <c r="J30" s="123"/>
    </row>
    <row r="31" spans="1:10" s="122" customFormat="1" ht="6" customHeight="1" hidden="1">
      <c r="A31" s="448" t="s">
        <v>49</v>
      </c>
      <c r="B31" s="450">
        <v>25404.2</v>
      </c>
      <c r="C31" s="40"/>
      <c r="D31" s="23"/>
      <c r="E31" s="119"/>
      <c r="F31" s="75"/>
      <c r="G31" s="97"/>
      <c r="H31" s="19"/>
      <c r="I31" s="19"/>
      <c r="J31" s="121"/>
    </row>
    <row r="32" spans="1:10" s="122" customFormat="1" ht="19.5" customHeight="1">
      <c r="A32" s="449"/>
      <c r="B32" s="451"/>
      <c r="C32" s="431" t="s">
        <v>125</v>
      </c>
      <c r="D32" s="23"/>
      <c r="E32" s="119"/>
      <c r="F32" s="75"/>
      <c r="G32" s="97"/>
      <c r="H32" s="19"/>
      <c r="I32" s="19"/>
      <c r="J32" s="121"/>
    </row>
    <row r="33" spans="1:10" s="125" customFormat="1" ht="17.25" customHeight="1">
      <c r="A33" s="27" t="s">
        <v>20</v>
      </c>
      <c r="B33" s="28">
        <v>25404.2</v>
      </c>
      <c r="C33" s="433"/>
      <c r="D33" s="116"/>
      <c r="E33" s="117"/>
      <c r="F33" s="118"/>
      <c r="G33" s="111"/>
      <c r="H33" s="85"/>
      <c r="I33" s="85"/>
      <c r="J33" s="123"/>
    </row>
    <row r="34" spans="1:10" s="122" customFormat="1" ht="21.75" customHeight="1">
      <c r="A34" s="21" t="s">
        <v>12</v>
      </c>
      <c r="B34" s="22">
        <f>26465+120</f>
        <v>26585</v>
      </c>
      <c r="C34" s="431" t="s">
        <v>80</v>
      </c>
      <c r="D34" s="19"/>
      <c r="E34" s="43"/>
      <c r="F34" s="76"/>
      <c r="G34" s="97"/>
      <c r="H34" s="19"/>
      <c r="I34" s="19"/>
      <c r="J34" s="121"/>
    </row>
    <row r="35" spans="1:10" s="125" customFormat="1" ht="16.5" customHeight="1">
      <c r="A35" s="27" t="s">
        <v>20</v>
      </c>
      <c r="B35" s="28">
        <f>SUM(B34)</f>
        <v>26585</v>
      </c>
      <c r="C35" s="433"/>
      <c r="D35" s="44"/>
      <c r="E35" s="45"/>
      <c r="F35" s="77"/>
      <c r="G35" s="98"/>
      <c r="H35" s="60"/>
      <c r="I35" s="60"/>
      <c r="J35" s="123"/>
    </row>
    <row r="36" spans="1:10" s="122" customFormat="1" ht="18" customHeight="1">
      <c r="A36" s="21" t="s">
        <v>21</v>
      </c>
      <c r="B36" s="22">
        <f>18720+50</f>
        <v>18770</v>
      </c>
      <c r="C36" s="431" t="s">
        <v>90</v>
      </c>
      <c r="D36" s="44"/>
      <c r="E36" s="43"/>
      <c r="F36" s="76"/>
      <c r="G36" s="97"/>
      <c r="H36" s="19"/>
      <c r="I36" s="19"/>
      <c r="J36" s="121"/>
    </row>
    <row r="37" spans="1:10" s="125" customFormat="1" ht="16.5" customHeight="1">
      <c r="A37" s="27" t="s">
        <v>20</v>
      </c>
      <c r="B37" s="28">
        <f>SUM(B36:B36)</f>
        <v>18770</v>
      </c>
      <c r="C37" s="433"/>
      <c r="D37" s="19"/>
      <c r="E37" s="43"/>
      <c r="F37" s="77"/>
      <c r="G37" s="98"/>
      <c r="H37" s="60"/>
      <c r="I37" s="60"/>
      <c r="J37" s="123"/>
    </row>
    <row r="38" spans="1:10" s="122" customFormat="1" ht="22.5" customHeight="1">
      <c r="A38" s="21" t="s">
        <v>13</v>
      </c>
      <c r="B38" s="22">
        <f>16983.2+260+2440</f>
        <v>19683.2</v>
      </c>
      <c r="C38" s="431" t="s">
        <v>134</v>
      </c>
      <c r="D38" s="44"/>
      <c r="E38" s="42"/>
      <c r="F38" s="43"/>
      <c r="G38" s="97"/>
      <c r="H38" s="19"/>
      <c r="I38" s="19"/>
      <c r="J38" s="121"/>
    </row>
    <row r="39" spans="1:10" s="125" customFormat="1" ht="17.25" customHeight="1">
      <c r="A39" s="27" t="s">
        <v>20</v>
      </c>
      <c r="B39" s="28">
        <f>SUM(B38)</f>
        <v>19683.2</v>
      </c>
      <c r="C39" s="433"/>
      <c r="D39" s="44"/>
      <c r="E39" s="42"/>
      <c r="F39" s="74"/>
      <c r="G39" s="98"/>
      <c r="H39" s="60"/>
      <c r="I39" s="60"/>
      <c r="J39" s="123"/>
    </row>
    <row r="40" spans="1:10" s="122" customFormat="1" ht="21" customHeight="1">
      <c r="A40" s="21" t="s">
        <v>14</v>
      </c>
      <c r="B40" s="22">
        <f>8120.7+711.9+350</f>
        <v>9182.6</v>
      </c>
      <c r="C40" s="431" t="s">
        <v>81</v>
      </c>
      <c r="D40" s="44"/>
      <c r="E40" s="42"/>
      <c r="F40" s="43"/>
      <c r="G40" s="97"/>
      <c r="H40" s="19"/>
      <c r="I40" s="19"/>
      <c r="J40" s="121"/>
    </row>
    <row r="41" spans="1:10" s="125" customFormat="1" ht="17.25" customHeight="1">
      <c r="A41" s="27" t="s">
        <v>20</v>
      </c>
      <c r="B41" s="28">
        <f>SUM(B40:B40)</f>
        <v>9182.6</v>
      </c>
      <c r="C41" s="433"/>
      <c r="D41" s="44"/>
      <c r="E41" s="42"/>
      <c r="F41" s="74">
        <f>F40</f>
        <v>0</v>
      </c>
      <c r="G41" s="98"/>
      <c r="H41" s="60"/>
      <c r="I41" s="60"/>
      <c r="J41" s="123"/>
    </row>
    <row r="42" spans="1:10" s="122" customFormat="1" ht="19.5" customHeight="1">
      <c r="A42" s="21" t="s">
        <v>15</v>
      </c>
      <c r="B42" s="22">
        <f>8785.5+493</f>
        <v>9278.5</v>
      </c>
      <c r="C42" s="431" t="s">
        <v>79</v>
      </c>
      <c r="D42" s="44"/>
      <c r="E42" s="46"/>
      <c r="F42" s="43"/>
      <c r="G42" s="97"/>
      <c r="H42" s="19"/>
      <c r="I42" s="19"/>
      <c r="J42" s="121"/>
    </row>
    <row r="43" spans="1:10" s="125" customFormat="1" ht="16.5" customHeight="1">
      <c r="A43" s="27" t="s">
        <v>20</v>
      </c>
      <c r="B43" s="28">
        <f>SUM(B42:B42)</f>
        <v>9278.5</v>
      </c>
      <c r="C43" s="433"/>
      <c r="D43" s="44"/>
      <c r="E43" s="46"/>
      <c r="F43" s="74"/>
      <c r="G43" s="98"/>
      <c r="H43" s="60"/>
      <c r="I43" s="60"/>
      <c r="J43" s="123"/>
    </row>
    <row r="44" spans="1:10" s="122" customFormat="1" ht="21.75" customHeight="1">
      <c r="A44" s="21" t="s">
        <v>16</v>
      </c>
      <c r="B44" s="22">
        <v>25196.58</v>
      </c>
      <c r="C44" s="431" t="s">
        <v>127</v>
      </c>
      <c r="D44" s="44"/>
      <c r="E44" s="46"/>
      <c r="F44" s="43"/>
      <c r="G44" s="97"/>
      <c r="H44" s="19"/>
      <c r="I44" s="19"/>
      <c r="J44" s="121"/>
    </row>
    <row r="45" spans="1:10" s="125" customFormat="1" ht="16.5" customHeight="1">
      <c r="A45" s="27" t="s">
        <v>20</v>
      </c>
      <c r="B45" s="28">
        <f>SUM(B44:B44)</f>
        <v>25196.58</v>
      </c>
      <c r="C45" s="433"/>
      <c r="D45" s="44"/>
      <c r="E45" s="46"/>
      <c r="F45" s="74">
        <f>F44</f>
        <v>0</v>
      </c>
      <c r="G45" s="98"/>
      <c r="H45" s="60"/>
      <c r="I45" s="60"/>
      <c r="J45" s="123"/>
    </row>
    <row r="46" spans="1:10" s="122" customFormat="1" ht="18.75" customHeight="1">
      <c r="A46" s="21" t="s">
        <v>17</v>
      </c>
      <c r="B46" s="47">
        <f>13350.15+206.5+30.45</f>
        <v>13587.1</v>
      </c>
      <c r="C46" s="431" t="s">
        <v>135</v>
      </c>
      <c r="D46" s="19"/>
      <c r="E46" s="46"/>
      <c r="F46" s="43"/>
      <c r="G46" s="99"/>
      <c r="H46" s="19"/>
      <c r="I46" s="19"/>
      <c r="J46" s="121"/>
    </row>
    <row r="47" spans="1:10" s="125" customFormat="1" ht="17.25" customHeight="1">
      <c r="A47" s="27" t="s">
        <v>20</v>
      </c>
      <c r="B47" s="48">
        <f>SUM(B46:B46)</f>
        <v>13587.1</v>
      </c>
      <c r="C47" s="433"/>
      <c r="D47" s="44"/>
      <c r="E47" s="42"/>
      <c r="F47" s="74"/>
      <c r="G47" s="98"/>
      <c r="H47" s="60"/>
      <c r="I47" s="60"/>
      <c r="J47" s="123"/>
    </row>
    <row r="48" spans="1:10" s="122" customFormat="1" ht="18.75" customHeight="1">
      <c r="A48" s="49" t="s">
        <v>18</v>
      </c>
      <c r="B48" s="22">
        <f>7132+268.5</f>
        <v>7400.5</v>
      </c>
      <c r="C48" s="431" t="s">
        <v>77</v>
      </c>
      <c r="D48" s="44"/>
      <c r="E48" s="42"/>
      <c r="F48" s="43"/>
      <c r="G48" s="97"/>
      <c r="H48" s="19"/>
      <c r="I48" s="19"/>
      <c r="J48" s="121"/>
    </row>
    <row r="49" spans="1:10" s="122" customFormat="1" ht="19.5" customHeight="1" thickBot="1">
      <c r="A49" s="27" t="s">
        <v>20</v>
      </c>
      <c r="B49" s="28">
        <f>SUM(B48:B48)</f>
        <v>7400.5</v>
      </c>
      <c r="C49" s="433"/>
      <c r="D49" s="44"/>
      <c r="E49" s="43"/>
      <c r="F49" s="74">
        <f>F48</f>
        <v>0</v>
      </c>
      <c r="G49" s="97"/>
      <c r="H49" s="19"/>
      <c r="I49" s="19"/>
      <c r="J49" s="121"/>
    </row>
    <row r="50" spans="1:10" s="128" customFormat="1" ht="36.75" customHeight="1" thickBot="1">
      <c r="A50" s="52" t="s">
        <v>68</v>
      </c>
      <c r="B50" s="53">
        <f>SUM(B14+B16+B18+B20+B22+B25+B27+B30+B33+B35+B37+B39+B41+B43+B45+B47+B49)</f>
        <v>542158.13</v>
      </c>
      <c r="C50" s="133"/>
      <c r="D50" s="134"/>
      <c r="E50" s="135"/>
      <c r="F50" s="80">
        <f>F41+F49+F18+F45</f>
        <v>9357</v>
      </c>
      <c r="G50" s="136"/>
      <c r="H50" s="137">
        <f>H22</f>
        <v>0</v>
      </c>
      <c r="I50" s="138"/>
      <c r="J50" s="127"/>
    </row>
    <row r="51" spans="1:10" s="122" customFormat="1" ht="24" customHeight="1">
      <c r="A51" s="26" t="s">
        <v>41</v>
      </c>
      <c r="B51" s="22">
        <v>39002.8</v>
      </c>
      <c r="C51" s="431" t="s">
        <v>82</v>
      </c>
      <c r="D51" s="56"/>
      <c r="E51" s="83"/>
      <c r="F51" s="84"/>
      <c r="G51" s="97"/>
      <c r="H51" s="85"/>
      <c r="I51" s="85"/>
      <c r="J51" s="123"/>
    </row>
    <row r="52" spans="1:10" s="125" customFormat="1" ht="17.25" customHeight="1">
      <c r="A52" s="27" t="s">
        <v>20</v>
      </c>
      <c r="B52" s="28">
        <f>SUM(B51:B51)</f>
        <v>39002.8</v>
      </c>
      <c r="C52" s="433"/>
      <c r="D52" s="57"/>
      <c r="E52" s="58"/>
      <c r="F52" s="74">
        <f>F51</f>
        <v>0</v>
      </c>
      <c r="G52" s="98"/>
      <c r="H52" s="60"/>
      <c r="I52" s="60"/>
      <c r="J52" s="123"/>
    </row>
    <row r="53" spans="1:10" s="122" customFormat="1" ht="24" customHeight="1">
      <c r="A53" s="26" t="s">
        <v>56</v>
      </c>
      <c r="B53" s="22">
        <f>24471.4+320</f>
        <v>24791.4</v>
      </c>
      <c r="C53" s="431" t="s">
        <v>78</v>
      </c>
      <c r="D53" s="56"/>
      <c r="E53" s="83"/>
      <c r="F53" s="84"/>
      <c r="G53" s="97"/>
      <c r="H53" s="85"/>
      <c r="I53" s="85"/>
      <c r="J53" s="123"/>
    </row>
    <row r="54" spans="1:10" s="125" customFormat="1" ht="17.25" customHeight="1">
      <c r="A54" s="27" t="s">
        <v>20</v>
      </c>
      <c r="B54" s="28">
        <f>SUM(B53:B53)</f>
        <v>24791.4</v>
      </c>
      <c r="C54" s="433"/>
      <c r="D54" s="57"/>
      <c r="E54" s="58"/>
      <c r="F54" s="74">
        <f>F53</f>
        <v>0</v>
      </c>
      <c r="G54" s="98"/>
      <c r="H54" s="60"/>
      <c r="I54" s="60"/>
      <c r="J54" s="123"/>
    </row>
    <row r="55" spans="1:10" s="125" customFormat="1" ht="57" customHeight="1">
      <c r="A55" s="21" t="s">
        <v>39</v>
      </c>
      <c r="B55" s="22">
        <v>24844</v>
      </c>
      <c r="C55" s="120" t="s">
        <v>117</v>
      </c>
      <c r="D55" s="57"/>
      <c r="E55" s="58"/>
      <c r="F55" s="43">
        <v>986</v>
      </c>
      <c r="G55" s="97" t="s">
        <v>110</v>
      </c>
      <c r="H55" s="60"/>
      <c r="I55" s="60"/>
      <c r="J55" s="123"/>
    </row>
    <row r="56" spans="1:10" s="125" customFormat="1" ht="17.25" customHeight="1">
      <c r="A56" s="27" t="s">
        <v>20</v>
      </c>
      <c r="B56" s="28">
        <f>SUM(B55:B55)</f>
        <v>24844</v>
      </c>
      <c r="C56" s="94"/>
      <c r="D56" s="57"/>
      <c r="E56" s="58"/>
      <c r="F56" s="74">
        <f>F55</f>
        <v>986</v>
      </c>
      <c r="G56" s="98"/>
      <c r="H56" s="60"/>
      <c r="I56" s="60"/>
      <c r="J56" s="123"/>
    </row>
    <row r="57" spans="1:10" s="122" customFormat="1" ht="57" customHeight="1">
      <c r="A57" s="21" t="s">
        <v>38</v>
      </c>
      <c r="B57" s="22">
        <v>1015</v>
      </c>
      <c r="C57" s="40" t="s">
        <v>83</v>
      </c>
      <c r="D57" s="59"/>
      <c r="E57" s="78"/>
      <c r="F57" s="43">
        <v>826.5</v>
      </c>
      <c r="G57" s="97" t="s">
        <v>110</v>
      </c>
      <c r="H57" s="78"/>
      <c r="I57" s="19"/>
      <c r="J57" s="73"/>
    </row>
    <row r="58" spans="1:10" s="125" customFormat="1" ht="16.5" customHeight="1">
      <c r="A58" s="27" t="s">
        <v>20</v>
      </c>
      <c r="B58" s="28">
        <f>SUM(B57:B57)</f>
        <v>1015</v>
      </c>
      <c r="C58" s="94"/>
      <c r="D58" s="57">
        <f>D57</f>
        <v>0</v>
      </c>
      <c r="E58" s="86"/>
      <c r="F58" s="74">
        <f>F57</f>
        <v>826.5</v>
      </c>
      <c r="G58" s="102"/>
      <c r="H58" s="86"/>
      <c r="I58" s="60"/>
      <c r="J58" s="129"/>
    </row>
    <row r="59" spans="1:10" s="125" customFormat="1" ht="28.5" customHeight="1">
      <c r="A59" s="21" t="s">
        <v>40</v>
      </c>
      <c r="B59" s="22"/>
      <c r="C59" s="40"/>
      <c r="D59" s="44"/>
      <c r="E59" s="86"/>
      <c r="F59" s="43">
        <v>449.5</v>
      </c>
      <c r="G59" s="97" t="s">
        <v>110</v>
      </c>
      <c r="H59" s="86"/>
      <c r="I59" s="60"/>
      <c r="J59" s="129"/>
    </row>
    <row r="60" spans="1:10" s="125" customFormat="1" ht="17.25" customHeight="1">
      <c r="A60" s="27" t="s">
        <v>20</v>
      </c>
      <c r="B60" s="28">
        <f>SUM(B59:B59)</f>
        <v>0</v>
      </c>
      <c r="C60" s="96"/>
      <c r="D60" s="60"/>
      <c r="E60" s="61"/>
      <c r="F60" s="57">
        <f>F59</f>
        <v>449.5</v>
      </c>
      <c r="G60" s="102"/>
      <c r="H60" s="86"/>
      <c r="I60" s="60"/>
      <c r="J60" s="129"/>
    </row>
    <row r="61" spans="1:10" s="125" customFormat="1" ht="54.75" customHeight="1">
      <c r="A61" s="21" t="s">
        <v>42</v>
      </c>
      <c r="B61" s="22">
        <v>4952</v>
      </c>
      <c r="C61" s="40" t="s">
        <v>128</v>
      </c>
      <c r="D61" s="44"/>
      <c r="E61" s="45"/>
      <c r="F61" s="59">
        <v>507.5</v>
      </c>
      <c r="G61" s="97" t="s">
        <v>110</v>
      </c>
      <c r="H61" s="86"/>
      <c r="I61" s="60"/>
      <c r="J61" s="129"/>
    </row>
    <row r="62" spans="1:10" s="125" customFormat="1" ht="17.25" customHeight="1">
      <c r="A62" s="27" t="s">
        <v>20</v>
      </c>
      <c r="B62" s="28">
        <f>SUM(B61:B61)</f>
        <v>4952</v>
      </c>
      <c r="C62" s="96"/>
      <c r="D62" s="62"/>
      <c r="E62" s="61"/>
      <c r="F62" s="57">
        <f>F61</f>
        <v>507.5</v>
      </c>
      <c r="G62" s="102"/>
      <c r="H62" s="86"/>
      <c r="I62" s="60"/>
      <c r="J62" s="129"/>
    </row>
    <row r="63" spans="1:10" s="122" customFormat="1" ht="52.5" customHeight="1">
      <c r="A63" s="21" t="s">
        <v>29</v>
      </c>
      <c r="B63" s="22">
        <f>64331.7+6876+12640</f>
        <v>83847.7</v>
      </c>
      <c r="C63" s="431" t="s">
        <v>118</v>
      </c>
      <c r="D63" s="45"/>
      <c r="E63" s="57"/>
      <c r="F63" s="45">
        <v>1711</v>
      </c>
      <c r="G63" s="97" t="s">
        <v>110</v>
      </c>
      <c r="H63" s="43"/>
      <c r="I63" s="19"/>
      <c r="J63" s="73"/>
    </row>
    <row r="64" spans="1:10" s="125" customFormat="1" ht="33.75" customHeight="1">
      <c r="A64" s="27" t="s">
        <v>20</v>
      </c>
      <c r="B64" s="28">
        <f>SUM(B63:B63)</f>
        <v>83847.7</v>
      </c>
      <c r="C64" s="433"/>
      <c r="D64" s="62"/>
      <c r="E64" s="61"/>
      <c r="F64" s="57">
        <f>F63</f>
        <v>1711</v>
      </c>
      <c r="G64" s="102"/>
      <c r="H64" s="74">
        <f>H63</f>
        <v>0</v>
      </c>
      <c r="I64" s="60"/>
      <c r="J64" s="129"/>
    </row>
    <row r="65" spans="1:10" s="125" customFormat="1" ht="174.75" customHeight="1" hidden="1">
      <c r="A65" s="27" t="s">
        <v>20</v>
      </c>
      <c r="B65" s="28">
        <f>SUM(B63:B64)</f>
        <v>167695.4</v>
      </c>
      <c r="C65" s="94"/>
      <c r="D65" s="61"/>
      <c r="E65" s="57"/>
      <c r="F65" s="61"/>
      <c r="G65" s="102"/>
      <c r="H65" s="86"/>
      <c r="I65" s="86"/>
      <c r="J65" s="129"/>
    </row>
    <row r="66" spans="1:10" s="125" customFormat="1" ht="16.5" customHeight="1" hidden="1">
      <c r="A66" s="21" t="s">
        <v>37</v>
      </c>
      <c r="B66" s="22">
        <v>10999</v>
      </c>
      <c r="C66" s="40" t="s">
        <v>52</v>
      </c>
      <c r="D66" s="61"/>
      <c r="E66" s="57"/>
      <c r="F66" s="61"/>
      <c r="G66" s="102"/>
      <c r="H66" s="86"/>
      <c r="I66" s="86"/>
      <c r="J66" s="129"/>
    </row>
    <row r="67" spans="1:10" s="122" customFormat="1" ht="17.25" customHeight="1" hidden="1">
      <c r="A67" s="21" t="s">
        <v>37</v>
      </c>
      <c r="B67" s="22">
        <v>1219</v>
      </c>
      <c r="C67" s="40" t="s">
        <v>43</v>
      </c>
      <c r="D67" s="45"/>
      <c r="E67" s="57"/>
      <c r="F67" s="45"/>
      <c r="G67" s="97"/>
      <c r="H67" s="78"/>
      <c r="I67" s="19"/>
      <c r="J67" s="73"/>
    </row>
    <row r="68" spans="1:10" s="125" customFormat="1" ht="16.5" customHeight="1" hidden="1">
      <c r="A68" s="27" t="s">
        <v>20</v>
      </c>
      <c r="B68" s="28">
        <f>SUM(B66:B67)</f>
        <v>12218</v>
      </c>
      <c r="C68" s="94"/>
      <c r="D68" s="61"/>
      <c r="E68" s="57"/>
      <c r="F68" s="61"/>
      <c r="G68" s="102"/>
      <c r="H68" s="86"/>
      <c r="I68" s="86"/>
      <c r="J68" s="129"/>
    </row>
    <row r="69" spans="1:10" s="125" customFormat="1" ht="16.5" customHeight="1" hidden="1">
      <c r="A69" s="21" t="s">
        <v>30</v>
      </c>
      <c r="B69" s="63">
        <v>3133</v>
      </c>
      <c r="C69" s="40" t="s">
        <v>44</v>
      </c>
      <c r="D69" s="45"/>
      <c r="E69" s="57"/>
      <c r="F69" s="61"/>
      <c r="G69" s="102"/>
      <c r="H69" s="86"/>
      <c r="I69" s="86"/>
      <c r="J69" s="129"/>
    </row>
    <row r="70" spans="1:10" s="125" customFormat="1" ht="18.75" customHeight="1" hidden="1">
      <c r="A70" s="21" t="s">
        <v>30</v>
      </c>
      <c r="B70" s="63">
        <v>120</v>
      </c>
      <c r="C70" s="40" t="s">
        <v>36</v>
      </c>
      <c r="D70" s="45"/>
      <c r="E70" s="57"/>
      <c r="F70" s="61"/>
      <c r="G70" s="102"/>
      <c r="H70" s="86"/>
      <c r="I70" s="86"/>
      <c r="J70" s="129"/>
    </row>
    <row r="71" spans="1:10" s="125" customFormat="1" ht="18.75" customHeight="1" hidden="1">
      <c r="A71" s="21" t="s">
        <v>30</v>
      </c>
      <c r="B71" s="63">
        <v>210</v>
      </c>
      <c r="C71" s="40" t="s">
        <v>36</v>
      </c>
      <c r="D71" s="45"/>
      <c r="E71" s="57"/>
      <c r="F71" s="61"/>
      <c r="G71" s="102"/>
      <c r="H71" s="86"/>
      <c r="I71" s="86"/>
      <c r="J71" s="129"/>
    </row>
    <row r="72" spans="1:10" s="125" customFormat="1" ht="16.5" customHeight="1" hidden="1">
      <c r="A72" s="27" t="s">
        <v>20</v>
      </c>
      <c r="B72" s="64">
        <f>SUM(B69:B71)</f>
        <v>3463</v>
      </c>
      <c r="C72" s="94"/>
      <c r="D72" s="61"/>
      <c r="E72" s="57"/>
      <c r="F72" s="61"/>
      <c r="G72" s="102"/>
      <c r="H72" s="86"/>
      <c r="I72" s="86"/>
      <c r="J72" s="129"/>
    </row>
    <row r="73" spans="1:10" s="125" customFormat="1" ht="17.25" customHeight="1" hidden="1">
      <c r="A73" s="21" t="s">
        <v>31</v>
      </c>
      <c r="B73" s="65">
        <v>60</v>
      </c>
      <c r="C73" s="40" t="s">
        <v>48</v>
      </c>
      <c r="D73" s="65">
        <v>149639.87</v>
      </c>
      <c r="E73" s="62" t="s">
        <v>47</v>
      </c>
      <c r="F73" s="59"/>
      <c r="G73" s="102"/>
      <c r="H73" s="21"/>
      <c r="I73" s="86"/>
      <c r="J73" s="129"/>
    </row>
    <row r="74" spans="1:10" s="125" customFormat="1" ht="17.25" customHeight="1" hidden="1">
      <c r="A74" s="21" t="s">
        <v>31</v>
      </c>
      <c r="B74" s="65">
        <v>3951.33</v>
      </c>
      <c r="C74" s="40" t="s">
        <v>51</v>
      </c>
      <c r="D74" s="65"/>
      <c r="E74" s="62"/>
      <c r="F74" s="59"/>
      <c r="G74" s="72"/>
      <c r="H74" s="21"/>
      <c r="I74" s="86"/>
      <c r="J74" s="129"/>
    </row>
    <row r="75" spans="1:10" s="122" customFormat="1" ht="55.5" customHeight="1">
      <c r="A75" s="21" t="s">
        <v>37</v>
      </c>
      <c r="B75" s="22">
        <f>68973.1+6350+14600</f>
        <v>89923.1</v>
      </c>
      <c r="C75" s="40" t="s">
        <v>119</v>
      </c>
      <c r="D75" s="45"/>
      <c r="E75" s="57"/>
      <c r="F75" s="45">
        <v>1102</v>
      </c>
      <c r="G75" s="97" t="s">
        <v>110</v>
      </c>
      <c r="H75" s="78"/>
      <c r="I75" s="19"/>
      <c r="J75" s="73"/>
    </row>
    <row r="76" spans="1:10" s="125" customFormat="1" ht="17.25" customHeight="1">
      <c r="A76" s="27" t="s">
        <v>20</v>
      </c>
      <c r="B76" s="28">
        <f>SUM(B75:B75)</f>
        <v>89923.1</v>
      </c>
      <c r="C76" s="96"/>
      <c r="D76" s="62"/>
      <c r="E76" s="61"/>
      <c r="F76" s="57">
        <f>F75</f>
        <v>1102</v>
      </c>
      <c r="G76" s="102"/>
      <c r="H76" s="86"/>
      <c r="I76" s="60"/>
      <c r="J76" s="129"/>
    </row>
    <row r="77" spans="1:10" s="122" customFormat="1" ht="52.5" customHeight="1">
      <c r="A77" s="21" t="s">
        <v>30</v>
      </c>
      <c r="B77" s="22">
        <f>25303.96+54310.84</f>
        <v>79614.79999999999</v>
      </c>
      <c r="C77" s="40" t="s">
        <v>136</v>
      </c>
      <c r="D77" s="45"/>
      <c r="E77" s="57"/>
      <c r="F77" s="45">
        <v>435</v>
      </c>
      <c r="G77" s="97" t="s">
        <v>110</v>
      </c>
      <c r="H77" s="78"/>
      <c r="I77" s="19"/>
      <c r="J77" s="73"/>
    </row>
    <row r="78" spans="1:10" s="125" customFormat="1" ht="17.25" customHeight="1">
      <c r="A78" s="27" t="s">
        <v>20</v>
      </c>
      <c r="B78" s="28">
        <f>SUM(B77:B77)</f>
        <v>79614.79999999999</v>
      </c>
      <c r="C78" s="96"/>
      <c r="D78" s="62"/>
      <c r="E78" s="61"/>
      <c r="F78" s="57">
        <f>F77</f>
        <v>435</v>
      </c>
      <c r="G78" s="102"/>
      <c r="H78" s="86"/>
      <c r="I78" s="60"/>
      <c r="J78" s="129"/>
    </row>
    <row r="79" spans="1:10" s="122" customFormat="1" ht="54.75" customHeight="1">
      <c r="A79" s="21" t="s">
        <v>57</v>
      </c>
      <c r="B79" s="22">
        <v>734</v>
      </c>
      <c r="C79" s="40" t="s">
        <v>98</v>
      </c>
      <c r="D79" s="45"/>
      <c r="E79" s="57"/>
      <c r="F79" s="45">
        <v>580.5</v>
      </c>
      <c r="G79" s="97" t="s">
        <v>110</v>
      </c>
      <c r="H79" s="78"/>
      <c r="I79" s="19"/>
      <c r="J79" s="73"/>
    </row>
    <row r="80" spans="1:10" s="125" customFormat="1" ht="17.25" customHeight="1">
      <c r="A80" s="27" t="s">
        <v>20</v>
      </c>
      <c r="B80" s="28">
        <f>SUM(B79:B79)</f>
        <v>734</v>
      </c>
      <c r="C80" s="96"/>
      <c r="D80" s="62"/>
      <c r="E80" s="61"/>
      <c r="F80" s="57">
        <f>F79</f>
        <v>580.5</v>
      </c>
      <c r="G80" s="102"/>
      <c r="H80" s="86"/>
      <c r="I80" s="60"/>
      <c r="J80" s="129"/>
    </row>
    <row r="81" spans="1:10" s="122" customFormat="1" ht="53.25" customHeight="1">
      <c r="A81" s="21" t="s">
        <v>31</v>
      </c>
      <c r="B81" s="22">
        <f>48481.32+1116+463.5</f>
        <v>50060.82</v>
      </c>
      <c r="C81" s="40" t="s">
        <v>99</v>
      </c>
      <c r="D81" s="45">
        <v>9986</v>
      </c>
      <c r="E81" s="59" t="s">
        <v>121</v>
      </c>
      <c r="F81" s="45">
        <v>1189</v>
      </c>
      <c r="G81" s="97" t="s">
        <v>110</v>
      </c>
      <c r="H81" s="78"/>
      <c r="I81" s="19"/>
      <c r="J81" s="73"/>
    </row>
    <row r="82" spans="1:10" s="125" customFormat="1" ht="17.25" customHeight="1">
      <c r="A82" s="27" t="s">
        <v>20</v>
      </c>
      <c r="B82" s="28">
        <f>SUM(B81:B81)</f>
        <v>50060.82</v>
      </c>
      <c r="C82" s="96"/>
      <c r="D82" s="61">
        <v>9986</v>
      </c>
      <c r="E82" s="61"/>
      <c r="F82" s="57">
        <f>F81</f>
        <v>1189</v>
      </c>
      <c r="G82" s="102"/>
      <c r="H82" s="86"/>
      <c r="I82" s="60"/>
      <c r="J82" s="129"/>
    </row>
    <row r="83" spans="1:10" s="125" customFormat="1" ht="53.25" customHeight="1">
      <c r="A83" s="448" t="s">
        <v>58</v>
      </c>
      <c r="B83" s="28"/>
      <c r="C83" s="96"/>
      <c r="D83" s="139"/>
      <c r="E83" s="61"/>
      <c r="F83" s="59">
        <v>754</v>
      </c>
      <c r="G83" s="97" t="s">
        <v>110</v>
      </c>
      <c r="H83" s="86"/>
      <c r="I83" s="60"/>
      <c r="J83" s="129"/>
    </row>
    <row r="84" spans="1:10" s="125" customFormat="1" ht="100.5" customHeight="1">
      <c r="A84" s="449"/>
      <c r="B84" s="65"/>
      <c r="C84" s="40"/>
      <c r="D84" s="65"/>
      <c r="E84" s="62"/>
      <c r="F84" s="59">
        <v>7040</v>
      </c>
      <c r="G84" s="97" t="s">
        <v>72</v>
      </c>
      <c r="H84" s="21"/>
      <c r="I84" s="86"/>
      <c r="J84" s="129"/>
    </row>
    <row r="85" spans="1:10" s="125" customFormat="1" ht="16.5" customHeight="1">
      <c r="A85" s="27" t="s">
        <v>20</v>
      </c>
      <c r="B85" s="66">
        <f>B84</f>
        <v>0</v>
      </c>
      <c r="C85" s="94"/>
      <c r="D85" s="66"/>
      <c r="E85" s="57"/>
      <c r="F85" s="61">
        <f>F84+F83</f>
        <v>7794</v>
      </c>
      <c r="G85" s="102"/>
      <c r="H85" s="86"/>
      <c r="I85" s="86"/>
      <c r="J85" s="129"/>
    </row>
    <row r="86" spans="1:10" s="125" customFormat="1" ht="38.25" customHeight="1">
      <c r="A86" s="21" t="s">
        <v>33</v>
      </c>
      <c r="B86" s="65">
        <v>13730</v>
      </c>
      <c r="C86" s="40" t="s">
        <v>91</v>
      </c>
      <c r="D86" s="131">
        <v>206699.6</v>
      </c>
      <c r="E86" s="44" t="s">
        <v>100</v>
      </c>
      <c r="F86" s="59">
        <v>232</v>
      </c>
      <c r="G86" s="97" t="s">
        <v>110</v>
      </c>
      <c r="H86" s="21"/>
      <c r="I86" s="86"/>
      <c r="J86" s="129"/>
    </row>
    <row r="87" spans="1:10" s="125" customFormat="1" ht="24" customHeight="1">
      <c r="A87" s="27" t="s">
        <v>20</v>
      </c>
      <c r="B87" s="66">
        <f>SUM(B86)</f>
        <v>13730</v>
      </c>
      <c r="C87" s="94"/>
      <c r="D87" s="141">
        <v>206699.6</v>
      </c>
      <c r="E87" s="57"/>
      <c r="F87" s="61">
        <f>F86</f>
        <v>232</v>
      </c>
      <c r="G87" s="102"/>
      <c r="H87" s="86"/>
      <c r="I87" s="86"/>
      <c r="J87" s="129"/>
    </row>
    <row r="88" spans="1:10" s="125" customFormat="1" ht="52.5" customHeight="1">
      <c r="A88" s="448" t="s">
        <v>45</v>
      </c>
      <c r="B88" s="66"/>
      <c r="C88" s="94"/>
      <c r="D88" s="132"/>
      <c r="E88" s="57"/>
      <c r="F88" s="45">
        <v>1116.5</v>
      </c>
      <c r="G88" s="97" t="s">
        <v>110</v>
      </c>
      <c r="H88" s="86"/>
      <c r="I88" s="86"/>
      <c r="J88" s="129"/>
    </row>
    <row r="89" spans="1:10" s="125" customFormat="1" ht="98.25" customHeight="1">
      <c r="A89" s="449"/>
      <c r="B89" s="63">
        <v>450</v>
      </c>
      <c r="C89" s="40" t="s">
        <v>83</v>
      </c>
      <c r="D89" s="63"/>
      <c r="E89" s="62"/>
      <c r="F89" s="59">
        <f>15920+1080+2616.7</f>
        <v>19616.7</v>
      </c>
      <c r="G89" s="97" t="s">
        <v>73</v>
      </c>
      <c r="H89" s="86"/>
      <c r="I89" s="86"/>
      <c r="J89" s="129"/>
    </row>
    <row r="90" spans="1:10" s="125" customFormat="1" ht="16.5" customHeight="1">
      <c r="A90" s="27" t="s">
        <v>20</v>
      </c>
      <c r="B90" s="64">
        <f>B89</f>
        <v>450</v>
      </c>
      <c r="C90" s="94"/>
      <c r="D90" s="60"/>
      <c r="E90" s="57"/>
      <c r="F90" s="61">
        <f>F89+F88</f>
        <v>20733.2</v>
      </c>
      <c r="G90" s="102"/>
      <c r="H90" s="86"/>
      <c r="I90" s="86"/>
      <c r="J90" s="129"/>
    </row>
    <row r="91" spans="1:10" s="125" customFormat="1" ht="51" customHeight="1">
      <c r="A91" s="21" t="s">
        <v>59</v>
      </c>
      <c r="B91" s="63">
        <f>6220+50</f>
        <v>6270</v>
      </c>
      <c r="C91" s="40" t="s">
        <v>85</v>
      </c>
      <c r="D91" s="63"/>
      <c r="E91" s="62"/>
      <c r="F91" s="59">
        <v>1160</v>
      </c>
      <c r="G91" s="97" t="s">
        <v>110</v>
      </c>
      <c r="H91" s="86"/>
      <c r="I91" s="86"/>
      <c r="J91" s="129"/>
    </row>
    <row r="92" spans="1:10" s="125" customFormat="1" ht="16.5" customHeight="1">
      <c r="A92" s="27" t="s">
        <v>20</v>
      </c>
      <c r="B92" s="64">
        <f>B91</f>
        <v>6270</v>
      </c>
      <c r="C92" s="94"/>
      <c r="D92" s="60"/>
      <c r="E92" s="57"/>
      <c r="F92" s="61">
        <f>F91</f>
        <v>1160</v>
      </c>
      <c r="G92" s="102"/>
      <c r="H92" s="86"/>
      <c r="I92" s="86"/>
      <c r="J92" s="129"/>
    </row>
    <row r="93" spans="1:10" s="125" customFormat="1" ht="53.25" customHeight="1">
      <c r="A93" s="21" t="s">
        <v>50</v>
      </c>
      <c r="B93" s="63"/>
      <c r="C93" s="40"/>
      <c r="D93" s="63"/>
      <c r="E93" s="62"/>
      <c r="F93" s="59">
        <v>43.5</v>
      </c>
      <c r="G93" s="97" t="s">
        <v>110</v>
      </c>
      <c r="H93" s="86"/>
      <c r="I93" s="86"/>
      <c r="J93" s="129"/>
    </row>
    <row r="94" spans="1:10" s="125" customFormat="1" ht="16.5" customHeight="1">
      <c r="A94" s="27" t="s">
        <v>20</v>
      </c>
      <c r="B94" s="64">
        <f>SUM(B93)</f>
        <v>0</v>
      </c>
      <c r="C94" s="94"/>
      <c r="D94" s="60"/>
      <c r="E94" s="57"/>
      <c r="F94" s="61">
        <f>F93</f>
        <v>43.5</v>
      </c>
      <c r="G94" s="102"/>
      <c r="H94" s="86"/>
      <c r="I94" s="86"/>
      <c r="J94" s="129"/>
    </row>
    <row r="95" spans="1:10" s="125" customFormat="1" ht="53.25" customHeight="1">
      <c r="A95" s="21" t="s">
        <v>60</v>
      </c>
      <c r="B95" s="63">
        <f>1910</f>
        <v>1910</v>
      </c>
      <c r="C95" s="40" t="s">
        <v>86</v>
      </c>
      <c r="D95" s="63">
        <v>15998</v>
      </c>
      <c r="E95" s="44" t="s">
        <v>140</v>
      </c>
      <c r="F95" s="59">
        <v>609</v>
      </c>
      <c r="G95" s="97" t="s">
        <v>110</v>
      </c>
      <c r="H95" s="86"/>
      <c r="I95" s="86"/>
      <c r="J95" s="129"/>
    </row>
    <row r="96" spans="1:10" s="125" customFormat="1" ht="16.5" customHeight="1">
      <c r="A96" s="27" t="s">
        <v>20</v>
      </c>
      <c r="B96" s="64">
        <v>1910</v>
      </c>
      <c r="C96" s="94"/>
      <c r="D96" s="60"/>
      <c r="E96" s="57"/>
      <c r="F96" s="61">
        <f>F95</f>
        <v>609</v>
      </c>
      <c r="G96" s="102"/>
      <c r="H96" s="86"/>
      <c r="I96" s="86"/>
      <c r="J96" s="129"/>
    </row>
    <row r="97" spans="1:10" s="125" customFormat="1" ht="55.5" customHeight="1">
      <c r="A97" s="21" t="s">
        <v>61</v>
      </c>
      <c r="B97" s="63">
        <v>24202.67</v>
      </c>
      <c r="C97" s="40" t="s">
        <v>137</v>
      </c>
      <c r="D97" s="63"/>
      <c r="E97" s="62"/>
      <c r="F97" s="59">
        <v>580</v>
      </c>
      <c r="G97" s="97" t="s">
        <v>110</v>
      </c>
      <c r="H97" s="86"/>
      <c r="I97" s="86"/>
      <c r="J97" s="129"/>
    </row>
    <row r="98" spans="1:10" s="125" customFormat="1" ht="16.5" customHeight="1">
      <c r="A98" s="27" t="s">
        <v>20</v>
      </c>
      <c r="B98" s="64">
        <f>B97</f>
        <v>24202.67</v>
      </c>
      <c r="C98" s="94"/>
      <c r="D98" s="60"/>
      <c r="E98" s="57"/>
      <c r="F98" s="61">
        <f>F97</f>
        <v>580</v>
      </c>
      <c r="G98" s="102"/>
      <c r="H98" s="86"/>
      <c r="I98" s="86"/>
      <c r="J98" s="129"/>
    </row>
    <row r="99" spans="1:10" s="125" customFormat="1" ht="55.5" customHeight="1">
      <c r="A99" s="448" t="s">
        <v>62</v>
      </c>
      <c r="B99" s="64"/>
      <c r="C99" s="94"/>
      <c r="D99" s="140"/>
      <c r="E99" s="57"/>
      <c r="F99" s="61">
        <v>1200</v>
      </c>
      <c r="G99" s="97" t="s">
        <v>109</v>
      </c>
      <c r="H99" s="86"/>
      <c r="I99" s="86"/>
      <c r="J99" s="129"/>
    </row>
    <row r="100" spans="1:10" s="125" customFormat="1" ht="74.25" customHeight="1">
      <c r="A100" s="449"/>
      <c r="B100" s="63">
        <v>33715</v>
      </c>
      <c r="C100" s="40" t="s">
        <v>105</v>
      </c>
      <c r="D100" s="63">
        <v>595000</v>
      </c>
      <c r="E100" s="44" t="s">
        <v>101</v>
      </c>
      <c r="F100" s="59">
        <v>1464.5</v>
      </c>
      <c r="G100" s="97" t="s">
        <v>110</v>
      </c>
      <c r="H100" s="86"/>
      <c r="I100" s="86"/>
      <c r="J100" s="129"/>
    </row>
    <row r="101" spans="1:10" s="125" customFormat="1" ht="16.5" customHeight="1">
      <c r="A101" s="27" t="s">
        <v>20</v>
      </c>
      <c r="B101" s="64">
        <f>SUM(B100)</f>
        <v>33715</v>
      </c>
      <c r="C101" s="94"/>
      <c r="D101" s="64">
        <f>SUM(D95:D100)</f>
        <v>610998</v>
      </c>
      <c r="E101" s="57"/>
      <c r="F101" s="61">
        <f>F100+F99</f>
        <v>2664.5</v>
      </c>
      <c r="G101" s="102"/>
      <c r="H101" s="86"/>
      <c r="I101" s="86"/>
      <c r="J101" s="129"/>
    </row>
    <row r="102" spans="1:10" s="125" customFormat="1" ht="52.5" customHeight="1">
      <c r="A102" s="21" t="s">
        <v>46</v>
      </c>
      <c r="B102" s="63">
        <v>10626</v>
      </c>
      <c r="C102" s="40" t="s">
        <v>88</v>
      </c>
      <c r="D102" s="63"/>
      <c r="E102" s="62"/>
      <c r="F102" s="59">
        <v>797.5</v>
      </c>
      <c r="G102" s="97" t="s">
        <v>110</v>
      </c>
      <c r="H102" s="86"/>
      <c r="I102" s="86"/>
      <c r="J102" s="129"/>
    </row>
    <row r="103" spans="1:10" s="125" customFormat="1" ht="16.5" customHeight="1">
      <c r="A103" s="27" t="s">
        <v>20</v>
      </c>
      <c r="B103" s="64">
        <f>B102</f>
        <v>10626</v>
      </c>
      <c r="C103" s="94"/>
      <c r="D103" s="60"/>
      <c r="E103" s="57"/>
      <c r="F103" s="61">
        <f>F102</f>
        <v>797.5</v>
      </c>
      <c r="G103" s="102"/>
      <c r="H103" s="86"/>
      <c r="I103" s="86"/>
      <c r="J103" s="129"/>
    </row>
    <row r="104" spans="1:10" s="125" customFormat="1" ht="54.75" customHeight="1">
      <c r="A104" s="21" t="s">
        <v>63</v>
      </c>
      <c r="B104" s="63">
        <v>59077.12</v>
      </c>
      <c r="C104" s="40" t="s">
        <v>92</v>
      </c>
      <c r="D104" s="63">
        <v>686945.25</v>
      </c>
      <c r="E104" s="44" t="s">
        <v>101</v>
      </c>
      <c r="F104" s="59">
        <v>826.5</v>
      </c>
      <c r="G104" s="97" t="s">
        <v>110</v>
      </c>
      <c r="H104" s="86"/>
      <c r="I104" s="86"/>
      <c r="J104" s="129"/>
    </row>
    <row r="105" spans="1:10" s="125" customFormat="1" ht="16.5" customHeight="1">
      <c r="A105" s="27" t="s">
        <v>20</v>
      </c>
      <c r="B105" s="64">
        <f>B104</f>
        <v>59077.12</v>
      </c>
      <c r="C105" s="94"/>
      <c r="D105" s="64">
        <v>686945.25</v>
      </c>
      <c r="E105" s="57"/>
      <c r="F105" s="61">
        <f>F104</f>
        <v>826.5</v>
      </c>
      <c r="G105" s="102"/>
      <c r="H105" s="86"/>
      <c r="I105" s="86"/>
      <c r="J105" s="129"/>
    </row>
    <row r="106" spans="1:10" s="125" customFormat="1" ht="59.25" customHeight="1">
      <c r="A106" s="26" t="s">
        <v>111</v>
      </c>
      <c r="B106" s="64"/>
      <c r="C106" s="94"/>
      <c r="D106" s="140"/>
      <c r="E106" s="57"/>
      <c r="F106" s="61"/>
      <c r="G106" s="102"/>
      <c r="H106" s="45">
        <v>28000</v>
      </c>
      <c r="I106" s="97" t="s">
        <v>112</v>
      </c>
      <c r="J106" s="129"/>
    </row>
    <row r="107" spans="1:10" s="125" customFormat="1" ht="16.5" customHeight="1">
      <c r="A107" s="27" t="s">
        <v>20</v>
      </c>
      <c r="B107" s="64"/>
      <c r="C107" s="94"/>
      <c r="D107" s="140"/>
      <c r="E107" s="57"/>
      <c r="F107" s="61"/>
      <c r="G107" s="102"/>
      <c r="H107" s="74">
        <f>H106</f>
        <v>28000</v>
      </c>
      <c r="I107" s="86"/>
      <c r="J107" s="129"/>
    </row>
    <row r="108" spans="1:10" s="125" customFormat="1" ht="43.5" customHeight="1">
      <c r="A108" s="21" t="s">
        <v>53</v>
      </c>
      <c r="B108" s="63"/>
      <c r="C108" s="40"/>
      <c r="D108" s="63"/>
      <c r="E108" s="62"/>
      <c r="F108" s="59"/>
      <c r="G108" s="102"/>
      <c r="H108" s="86"/>
      <c r="I108" s="86"/>
      <c r="J108" s="129"/>
    </row>
    <row r="109" spans="1:10" s="125" customFormat="1" ht="16.5" customHeight="1">
      <c r="A109" s="27" t="s">
        <v>20</v>
      </c>
      <c r="B109" s="64">
        <f>B108</f>
        <v>0</v>
      </c>
      <c r="C109" s="94"/>
      <c r="D109" s="60"/>
      <c r="E109" s="57"/>
      <c r="F109" s="61"/>
      <c r="G109" s="102"/>
      <c r="H109" s="86"/>
      <c r="I109" s="86"/>
      <c r="J109" s="129"/>
    </row>
    <row r="110" spans="1:10" s="125" customFormat="1" ht="19.5" customHeight="1">
      <c r="A110" s="21" t="s">
        <v>54</v>
      </c>
      <c r="B110" s="63">
        <v>1469.62</v>
      </c>
      <c r="C110" s="40" t="s">
        <v>102</v>
      </c>
      <c r="D110" s="63"/>
      <c r="E110" s="62"/>
      <c r="F110" s="59"/>
      <c r="G110" s="103"/>
      <c r="H110" s="86"/>
      <c r="I110" s="86"/>
      <c r="J110" s="129"/>
    </row>
    <row r="111" spans="1:10" s="125" customFormat="1" ht="16.5" customHeight="1">
      <c r="A111" s="27" t="s">
        <v>20</v>
      </c>
      <c r="B111" s="64">
        <f>B110</f>
        <v>1469.62</v>
      </c>
      <c r="C111" s="94"/>
      <c r="D111" s="60"/>
      <c r="E111" s="57"/>
      <c r="F111" s="61"/>
      <c r="G111" s="102"/>
      <c r="H111" s="86"/>
      <c r="I111" s="86"/>
      <c r="J111" s="129"/>
    </row>
    <row r="112" spans="1:10" s="125" customFormat="1" ht="33.75" customHeight="1">
      <c r="A112" s="21" t="s">
        <v>103</v>
      </c>
      <c r="B112" s="63">
        <v>2435</v>
      </c>
      <c r="C112" s="40" t="s">
        <v>104</v>
      </c>
      <c r="D112" s="63"/>
      <c r="E112" s="62"/>
      <c r="F112" s="59"/>
      <c r="G112" s="103"/>
      <c r="H112" s="86"/>
      <c r="I112" s="86"/>
      <c r="J112" s="129"/>
    </row>
    <row r="113" spans="1:10" s="125" customFormat="1" ht="16.5" customHeight="1">
      <c r="A113" s="27" t="s">
        <v>20</v>
      </c>
      <c r="B113" s="64">
        <f>B112</f>
        <v>2435</v>
      </c>
      <c r="C113" s="94"/>
      <c r="D113" s="60"/>
      <c r="E113" s="57"/>
      <c r="F113" s="61"/>
      <c r="G113" s="102"/>
      <c r="H113" s="86"/>
      <c r="I113" s="86"/>
      <c r="J113" s="129"/>
    </row>
    <row r="114" spans="1:10" s="125" customFormat="1" ht="19.5" customHeight="1">
      <c r="A114" s="21" t="s">
        <v>67</v>
      </c>
      <c r="B114" s="63"/>
      <c r="C114" s="40"/>
      <c r="D114" s="63"/>
      <c r="E114" s="62"/>
      <c r="F114" s="59"/>
      <c r="G114" s="103"/>
      <c r="H114" s="86"/>
      <c r="I114" s="86"/>
      <c r="J114" s="129"/>
    </row>
    <row r="115" spans="1:10" s="125" customFormat="1" ht="16.5" customHeight="1">
      <c r="A115" s="27" t="s">
        <v>20</v>
      </c>
      <c r="B115" s="64">
        <f>SUM(B114)</f>
        <v>0</v>
      </c>
      <c r="C115" s="94"/>
      <c r="D115" s="60"/>
      <c r="E115" s="57"/>
      <c r="F115" s="61"/>
      <c r="G115" s="102"/>
      <c r="H115" s="86"/>
      <c r="I115" s="86"/>
      <c r="J115" s="129"/>
    </row>
    <row r="116" spans="1:10" s="125" customFormat="1" ht="19.5" customHeight="1">
      <c r="A116" s="21" t="s">
        <v>64</v>
      </c>
      <c r="B116" s="63">
        <f>1003.8+30.87</f>
        <v>1034.6699999999998</v>
      </c>
      <c r="C116" s="40" t="s">
        <v>138</v>
      </c>
      <c r="D116" s="63"/>
      <c r="E116" s="62"/>
      <c r="F116" s="59"/>
      <c r="G116" s="103"/>
      <c r="H116" s="86"/>
      <c r="I116" s="86"/>
      <c r="J116" s="129"/>
    </row>
    <row r="117" spans="1:10" s="125" customFormat="1" ht="16.5" customHeight="1">
      <c r="A117" s="27" t="s">
        <v>20</v>
      </c>
      <c r="B117" s="64">
        <f>B116</f>
        <v>1034.6699999999998</v>
      </c>
      <c r="C117" s="94"/>
      <c r="D117" s="60"/>
      <c r="E117" s="57"/>
      <c r="F117" s="61"/>
      <c r="G117" s="102"/>
      <c r="H117" s="86"/>
      <c r="I117" s="86"/>
      <c r="J117" s="129"/>
    </row>
    <row r="118" spans="1:10" s="125" customFormat="1" ht="25.5" customHeight="1" thickBot="1">
      <c r="A118" s="27" t="s">
        <v>20</v>
      </c>
      <c r="B118" s="28"/>
      <c r="C118" s="94"/>
      <c r="D118" s="63"/>
      <c r="E118" s="57"/>
      <c r="F118" s="61"/>
      <c r="G118" s="102"/>
      <c r="H118" s="86"/>
      <c r="I118" s="86"/>
      <c r="J118" s="129"/>
    </row>
    <row r="119" spans="1:9" s="130" customFormat="1" ht="77.25" customHeight="1" thickBot="1">
      <c r="A119" s="67" t="s">
        <v>70</v>
      </c>
      <c r="B119" s="68">
        <f>SUM(B52+B54+B56+B58+B60+B62+B64+B76+B78+B80+B82+B85+B87+B90+B92+B94+B96+B98+B101+B103+B105+B109+B111+B113+B115+B117+B118)</f>
        <v>553705.7000000001</v>
      </c>
      <c r="C119" s="68"/>
      <c r="D119" s="68">
        <f>D85+D87+D101+D82+D118+D105</f>
        <v>1514628.85</v>
      </c>
      <c r="E119" s="68"/>
      <c r="F119" s="68">
        <f>F54+F58+F60+F62+F64+F76+F78+F85+F87+F90+F92+F94+F96+F98+F101+F103+F105+F118+F56+F82+F80</f>
        <v>43227.2</v>
      </c>
      <c r="G119" s="104"/>
      <c r="H119" s="68">
        <f>H107</f>
        <v>28000</v>
      </c>
      <c r="I119" s="68"/>
    </row>
    <row r="120" spans="1:9" s="130" customFormat="1" ht="93.75" customHeight="1" thickBot="1">
      <c r="A120" s="69" t="s">
        <v>69</v>
      </c>
      <c r="B120" s="70">
        <f>SUM(B50+B119)</f>
        <v>1095863.83</v>
      </c>
      <c r="C120" s="70"/>
      <c r="D120" s="70">
        <f>D119+D50</f>
        <v>1514628.85</v>
      </c>
      <c r="E120" s="70"/>
      <c r="F120" s="70">
        <f>F50+F119</f>
        <v>52584.2</v>
      </c>
      <c r="G120" s="105"/>
      <c r="H120" s="70">
        <f>H50+H119</f>
        <v>28000</v>
      </c>
      <c r="I120" s="70"/>
    </row>
    <row r="121" spans="1:10" s="8" customFormat="1" ht="24" customHeight="1">
      <c r="A121" s="108" t="s">
        <v>130</v>
      </c>
      <c r="B121" s="108"/>
      <c r="C121" s="108"/>
      <c r="D121" s="88"/>
      <c r="E121" s="89"/>
      <c r="F121" s="88"/>
      <c r="G121" s="88"/>
      <c r="H121" s="71"/>
      <c r="I121" s="71"/>
      <c r="J121" s="7"/>
    </row>
    <row r="122" spans="1:10" s="8" customFormat="1" ht="24" customHeight="1">
      <c r="A122" s="89" t="s">
        <v>131</v>
      </c>
      <c r="B122" s="89"/>
      <c r="C122" s="89"/>
      <c r="D122" s="88"/>
      <c r="E122" s="89"/>
      <c r="F122" s="88"/>
      <c r="G122" s="89" t="s">
        <v>71</v>
      </c>
      <c r="H122" s="71"/>
      <c r="I122" s="71"/>
      <c r="J122" s="7"/>
    </row>
    <row r="123" spans="1:10" ht="15.75" customHeight="1">
      <c r="A123" s="90"/>
      <c r="B123" s="90"/>
      <c r="C123" s="91"/>
      <c r="D123" s="92"/>
      <c r="E123" s="93"/>
      <c r="F123" s="90"/>
      <c r="G123" s="90"/>
      <c r="H123" s="73"/>
      <c r="I123" s="73"/>
      <c r="J123" s="2"/>
    </row>
    <row r="124" spans="1:10" ht="11.25" customHeight="1">
      <c r="A124" s="90"/>
      <c r="B124" s="90"/>
      <c r="C124" s="91"/>
      <c r="D124" s="92"/>
      <c r="E124" s="93"/>
      <c r="F124" s="90"/>
      <c r="G124" s="90"/>
      <c r="H124" s="73"/>
      <c r="I124" s="73"/>
      <c r="J124" s="2"/>
    </row>
    <row r="125" spans="1:10" ht="20.25" customHeight="1">
      <c r="A125" s="90" t="s">
        <v>35</v>
      </c>
      <c r="B125" s="90"/>
      <c r="C125" s="91"/>
      <c r="D125" s="92"/>
      <c r="E125" s="93"/>
      <c r="F125" s="90"/>
      <c r="G125" s="90" t="s">
        <v>106</v>
      </c>
      <c r="H125" s="73"/>
      <c r="I125" s="73"/>
      <c r="J125" s="2"/>
    </row>
    <row r="126" spans="1:10" ht="20.25" customHeight="1">
      <c r="A126" s="90"/>
      <c r="B126" s="90"/>
      <c r="C126" s="91"/>
      <c r="D126" s="92"/>
      <c r="E126" s="93"/>
      <c r="F126" s="90"/>
      <c r="G126" s="90"/>
      <c r="H126" s="73"/>
      <c r="I126" s="73"/>
      <c r="J126" s="2"/>
    </row>
    <row r="127" spans="1:10" ht="13.5" customHeight="1">
      <c r="A127" s="91" t="s">
        <v>113</v>
      </c>
      <c r="B127" s="92"/>
      <c r="C127" s="91"/>
      <c r="D127" s="92"/>
      <c r="E127" s="90"/>
      <c r="F127" s="92"/>
      <c r="G127" s="92"/>
      <c r="H127" s="73"/>
      <c r="I127" s="73"/>
      <c r="J127" s="2"/>
    </row>
    <row r="128" spans="1:10" ht="13.5" customHeight="1">
      <c r="A128" s="91" t="s">
        <v>65</v>
      </c>
      <c r="B128" s="92"/>
      <c r="C128" s="91"/>
      <c r="D128" s="92"/>
      <c r="E128" s="90"/>
      <c r="F128" s="92"/>
      <c r="G128" s="92"/>
      <c r="H128" s="73"/>
      <c r="I128" s="73"/>
      <c r="J128" s="2"/>
    </row>
    <row r="129" spans="1:10" ht="14.25" customHeight="1">
      <c r="A129" s="91"/>
      <c r="B129" s="92"/>
      <c r="C129" s="91"/>
      <c r="D129" s="92"/>
      <c r="E129" s="90"/>
      <c r="F129" s="92"/>
      <c r="G129" s="92"/>
      <c r="H129" s="73"/>
      <c r="I129" s="73"/>
      <c r="J129" s="2"/>
    </row>
    <row r="130" spans="1:10" ht="20.25" customHeight="1">
      <c r="A130" s="91" t="s">
        <v>25</v>
      </c>
      <c r="B130" s="92"/>
      <c r="C130" s="91"/>
      <c r="D130" s="92"/>
      <c r="E130" s="90"/>
      <c r="F130" s="92"/>
      <c r="G130" s="92"/>
      <c r="H130" s="73"/>
      <c r="I130" s="73"/>
      <c r="J130" s="2"/>
    </row>
    <row r="131" spans="1:10" ht="20.25" customHeight="1">
      <c r="A131" s="91" t="s">
        <v>107</v>
      </c>
      <c r="B131" s="92"/>
      <c r="C131" s="91"/>
      <c r="D131" s="92"/>
      <c r="E131" s="90"/>
      <c r="F131" s="92"/>
      <c r="G131" s="92"/>
      <c r="H131" s="73"/>
      <c r="I131" s="73"/>
      <c r="J131" s="2"/>
    </row>
    <row r="132" spans="1:10" ht="12" customHeight="1">
      <c r="A132" s="2"/>
      <c r="B132" s="2"/>
      <c r="C132" s="6"/>
      <c r="D132" s="2"/>
      <c r="E132" s="2"/>
      <c r="F132" s="2"/>
      <c r="G132" s="2"/>
      <c r="H132" s="2"/>
      <c r="I132" s="2"/>
      <c r="J132" s="2"/>
    </row>
    <row r="133" spans="1:10" ht="15">
      <c r="A133" s="2"/>
      <c r="B133" s="2"/>
      <c r="C133" s="6"/>
      <c r="D133" s="2"/>
      <c r="E133" s="2"/>
      <c r="F133" s="2"/>
      <c r="G133" s="2"/>
      <c r="H133" s="2"/>
      <c r="I133" s="2"/>
      <c r="J133" s="2"/>
    </row>
    <row r="134" spans="1:9" ht="15">
      <c r="A134" s="3"/>
      <c r="B134" s="2"/>
      <c r="C134" s="6"/>
      <c r="D134" s="2"/>
      <c r="E134" s="2"/>
      <c r="F134" s="2"/>
      <c r="G134" s="2"/>
      <c r="H134" s="2"/>
      <c r="I134" s="2"/>
    </row>
  </sheetData>
  <sheetProtection/>
  <mergeCells count="51">
    <mergeCell ref="A83:A84"/>
    <mergeCell ref="A28:A29"/>
    <mergeCell ref="B28:B29"/>
    <mergeCell ref="B23:B24"/>
    <mergeCell ref="C44:C45"/>
    <mergeCell ref="C46:C47"/>
    <mergeCell ref="C32:C33"/>
    <mergeCell ref="C53:C54"/>
    <mergeCell ref="C26:C27"/>
    <mergeCell ref="C17:C18"/>
    <mergeCell ref="C34:C35"/>
    <mergeCell ref="C36:C37"/>
    <mergeCell ref="C38:C39"/>
    <mergeCell ref="C21:C22"/>
    <mergeCell ref="C42:C43"/>
    <mergeCell ref="A99:A100"/>
    <mergeCell ref="C63:C64"/>
    <mergeCell ref="C48:C49"/>
    <mergeCell ref="C23:C25"/>
    <mergeCell ref="C51:C52"/>
    <mergeCell ref="C40:C41"/>
    <mergeCell ref="C28:C30"/>
    <mergeCell ref="A31:A32"/>
    <mergeCell ref="B31:B32"/>
    <mergeCell ref="A88:A89"/>
    <mergeCell ref="G1:I1"/>
    <mergeCell ref="G3:I3"/>
    <mergeCell ref="G4:I4"/>
    <mergeCell ref="A5:I5"/>
    <mergeCell ref="H2:I2"/>
    <mergeCell ref="C19:C20"/>
    <mergeCell ref="A12:A13"/>
    <mergeCell ref="B12:B13"/>
    <mergeCell ref="C12:C14"/>
    <mergeCell ref="C15:C16"/>
    <mergeCell ref="E23:E24"/>
    <mergeCell ref="A6:I6"/>
    <mergeCell ref="A7:I7"/>
    <mergeCell ref="F23:F24"/>
    <mergeCell ref="G23:G24"/>
    <mergeCell ref="H23:H24"/>
    <mergeCell ref="I23:I24"/>
    <mergeCell ref="A8:A11"/>
    <mergeCell ref="D23:D24"/>
    <mergeCell ref="A23:A24"/>
    <mergeCell ref="B8:E8"/>
    <mergeCell ref="F8:I8"/>
    <mergeCell ref="F9:G10"/>
    <mergeCell ref="H9:I10"/>
    <mergeCell ref="B9:C10"/>
    <mergeCell ref="D9:E10"/>
  </mergeCells>
  <printOptions/>
  <pageMargins left="0.7874015748031497" right="0.3937007874015748" top="0.3937007874015748" bottom="0.3937007874015748" header="0.31496062992125984" footer="0.31496062992125984"/>
  <pageSetup horizontalDpi="180" verticalDpi="180" orientation="portrait" paperSize="9" scale="42" r:id="rId1"/>
  <rowBreaks count="2" manualBreakCount="2">
    <brk id="85" max="7" man="1"/>
    <brk id="169" max="8" man="1"/>
  </rowBreaks>
</worksheet>
</file>

<file path=xl/worksheets/sheet17.xml><?xml version="1.0" encoding="utf-8"?>
<worksheet xmlns="http://schemas.openxmlformats.org/spreadsheetml/2006/main" xmlns:r="http://schemas.openxmlformats.org/officeDocument/2006/relationships">
  <dimension ref="A1:K134"/>
  <sheetViews>
    <sheetView showGridLines="0" zoomScale="50" zoomScaleNormal="50" zoomScaleSheetLayoutView="75" zoomScalePageLayoutView="0" workbookViewId="0" topLeftCell="A102">
      <selection activeCell="G135" sqref="G135"/>
    </sheetView>
  </sheetViews>
  <sheetFormatPr defaultColWidth="9.140625" defaultRowHeight="15"/>
  <cols>
    <col min="1" max="1" width="16.7109375" style="1" customWidth="1"/>
    <col min="2" max="2" width="21.7109375" style="1" customWidth="1"/>
    <col min="3" max="3" width="27.7109375" style="5" customWidth="1"/>
    <col min="4" max="4" width="17.28125" style="1" customWidth="1"/>
    <col min="5" max="5" width="16.00390625" style="1" customWidth="1"/>
    <col min="6" max="6" width="16.140625" style="1" customWidth="1"/>
    <col min="7" max="7" width="29.7109375" style="1" customWidth="1"/>
    <col min="8" max="8" width="12.8515625" style="1" customWidth="1"/>
    <col min="9" max="9" width="28.28125" style="1" customWidth="1"/>
    <col min="10" max="10" width="8.140625" style="1" customWidth="1"/>
    <col min="11" max="16384" width="9.140625" style="1" customWidth="1"/>
  </cols>
  <sheetData>
    <row r="1" spans="3:9" ht="18" customHeight="1">
      <c r="C1" s="1" t="s">
        <v>34</v>
      </c>
      <c r="G1" s="480" t="s">
        <v>75</v>
      </c>
      <c r="H1" s="480"/>
      <c r="I1" s="480"/>
    </row>
    <row r="2" spans="3:9" ht="18" customHeight="1">
      <c r="C2" s="1"/>
      <c r="G2" s="107"/>
      <c r="H2" s="480" t="s">
        <v>74</v>
      </c>
      <c r="I2" s="480"/>
    </row>
    <row r="3" spans="3:9" ht="16.5" customHeight="1">
      <c r="C3" s="1"/>
      <c r="G3" s="480" t="s">
        <v>76</v>
      </c>
      <c r="H3" s="480"/>
      <c r="I3" s="480"/>
    </row>
    <row r="4" spans="3:9" ht="15.75">
      <c r="C4" s="1"/>
      <c r="G4" s="363"/>
      <c r="H4" s="363"/>
      <c r="I4" s="363"/>
    </row>
    <row r="5" spans="1:9" ht="15.75">
      <c r="A5" s="364" t="s">
        <v>26</v>
      </c>
      <c r="B5" s="364"/>
      <c r="C5" s="364"/>
      <c r="D5" s="364"/>
      <c r="E5" s="364"/>
      <c r="F5" s="364"/>
      <c r="G5" s="364"/>
      <c r="H5" s="364"/>
      <c r="I5" s="364"/>
    </row>
    <row r="6" spans="1:9" ht="15.75">
      <c r="A6" s="364" t="s">
        <v>122</v>
      </c>
      <c r="B6" s="364"/>
      <c r="C6" s="364"/>
      <c r="D6" s="364"/>
      <c r="E6" s="364"/>
      <c r="F6" s="364"/>
      <c r="G6" s="364"/>
      <c r="H6" s="364"/>
      <c r="I6" s="364"/>
    </row>
    <row r="7" spans="1:9" s="4" customFormat="1" ht="15.75">
      <c r="A7" s="364" t="s">
        <v>27</v>
      </c>
      <c r="B7" s="364"/>
      <c r="C7" s="364"/>
      <c r="D7" s="364"/>
      <c r="E7" s="364"/>
      <c r="F7" s="364"/>
      <c r="G7" s="364"/>
      <c r="H7" s="364"/>
      <c r="I7" s="364"/>
    </row>
    <row r="8" spans="1:10" s="122" customFormat="1" ht="16.5" customHeight="1">
      <c r="A8" s="420" t="s">
        <v>28</v>
      </c>
      <c r="B8" s="420" t="s">
        <v>0</v>
      </c>
      <c r="C8" s="420"/>
      <c r="D8" s="420"/>
      <c r="E8" s="420"/>
      <c r="F8" s="458" t="s">
        <v>1</v>
      </c>
      <c r="G8" s="459"/>
      <c r="H8" s="459"/>
      <c r="I8" s="460"/>
      <c r="J8" s="121"/>
    </row>
    <row r="9" spans="1:10" s="122" customFormat="1" ht="13.5" customHeight="1">
      <c r="A9" s="420"/>
      <c r="B9" s="420" t="s">
        <v>2</v>
      </c>
      <c r="C9" s="420"/>
      <c r="D9" s="420" t="s">
        <v>23</v>
      </c>
      <c r="E9" s="420"/>
      <c r="F9" s="452" t="s">
        <v>2</v>
      </c>
      <c r="G9" s="461"/>
      <c r="H9" s="452" t="s">
        <v>3</v>
      </c>
      <c r="I9" s="453"/>
      <c r="J9" s="121"/>
    </row>
    <row r="10" spans="1:10" s="122" customFormat="1" ht="18" customHeight="1">
      <c r="A10" s="420"/>
      <c r="B10" s="420"/>
      <c r="C10" s="420"/>
      <c r="D10" s="420"/>
      <c r="E10" s="420"/>
      <c r="F10" s="462"/>
      <c r="G10" s="463"/>
      <c r="H10" s="454"/>
      <c r="I10" s="455"/>
      <c r="J10" s="121"/>
    </row>
    <row r="11" spans="1:10" s="122" customFormat="1" ht="67.5" customHeight="1">
      <c r="A11" s="420"/>
      <c r="B11" s="19" t="s">
        <v>22</v>
      </c>
      <c r="C11" s="20" t="s">
        <v>4</v>
      </c>
      <c r="D11" s="19" t="s">
        <v>22</v>
      </c>
      <c r="E11" s="19" t="s">
        <v>5</v>
      </c>
      <c r="F11" s="19" t="s">
        <v>22</v>
      </c>
      <c r="G11" s="19" t="s">
        <v>4</v>
      </c>
      <c r="H11" s="19" t="s">
        <v>22</v>
      </c>
      <c r="I11" s="19" t="s">
        <v>6</v>
      </c>
      <c r="J11" s="121"/>
    </row>
    <row r="12" spans="1:10" s="122" customFormat="1" ht="34.5" customHeight="1">
      <c r="A12" s="448" t="s">
        <v>24</v>
      </c>
      <c r="B12" s="481">
        <v>16314.9</v>
      </c>
      <c r="C12" s="444" t="s">
        <v>114</v>
      </c>
      <c r="D12" s="23"/>
      <c r="E12" s="24"/>
      <c r="F12" s="25"/>
      <c r="G12" s="97"/>
      <c r="H12" s="26"/>
      <c r="I12" s="26"/>
      <c r="J12" s="121"/>
    </row>
    <row r="13" spans="1:10" s="122" customFormat="1" ht="10.5" customHeight="1" hidden="1">
      <c r="A13" s="449"/>
      <c r="B13" s="482"/>
      <c r="C13" s="468"/>
      <c r="D13" s="23"/>
      <c r="E13" s="106"/>
      <c r="F13" s="25"/>
      <c r="G13" s="97"/>
      <c r="H13" s="26"/>
      <c r="I13" s="26"/>
      <c r="J13" s="121"/>
    </row>
    <row r="14" spans="1:11" s="125" customFormat="1" ht="24.75" customHeight="1">
      <c r="A14" s="27" t="s">
        <v>19</v>
      </c>
      <c r="B14" s="28">
        <f>SUM(B12:B13)</f>
        <v>16314.9</v>
      </c>
      <c r="C14" s="445"/>
      <c r="D14" s="29"/>
      <c r="E14" s="30"/>
      <c r="F14" s="31"/>
      <c r="G14" s="98"/>
      <c r="H14" s="27"/>
      <c r="I14" s="27"/>
      <c r="J14" s="123"/>
      <c r="K14" s="124"/>
    </row>
    <row r="15" spans="1:11" s="122" customFormat="1" ht="21" customHeight="1">
      <c r="A15" s="21" t="s">
        <v>7</v>
      </c>
      <c r="B15" s="22">
        <v>3392.04</v>
      </c>
      <c r="C15" s="431" t="s">
        <v>115</v>
      </c>
      <c r="D15" s="32"/>
      <c r="E15" s="33"/>
      <c r="F15" s="25"/>
      <c r="G15" s="97"/>
      <c r="H15" s="26"/>
      <c r="I15" s="26"/>
      <c r="J15" s="121"/>
      <c r="K15" s="126"/>
    </row>
    <row r="16" spans="1:11" s="125" customFormat="1" ht="19.5" customHeight="1">
      <c r="A16" s="27" t="s">
        <v>19</v>
      </c>
      <c r="B16" s="28">
        <f>SUM(B15)</f>
        <v>3392.04</v>
      </c>
      <c r="C16" s="433"/>
      <c r="D16" s="34"/>
      <c r="E16" s="30"/>
      <c r="F16" s="31"/>
      <c r="G16" s="98"/>
      <c r="H16" s="27"/>
      <c r="I16" s="27"/>
      <c r="J16" s="123"/>
      <c r="K16" s="124"/>
    </row>
    <row r="17" spans="1:11" s="125" customFormat="1" ht="20.25" customHeight="1">
      <c r="A17" s="35" t="s">
        <v>32</v>
      </c>
      <c r="B17" s="22">
        <v>91632.87</v>
      </c>
      <c r="C17" s="431" t="s">
        <v>123</v>
      </c>
      <c r="D17" s="21"/>
      <c r="E17" s="33"/>
      <c r="F17" s="36">
        <f>7907+1450</f>
        <v>9357</v>
      </c>
      <c r="G17" s="97"/>
      <c r="H17" s="27"/>
      <c r="I17" s="27"/>
      <c r="J17" s="123"/>
      <c r="K17" s="124"/>
    </row>
    <row r="18" spans="1:11" s="125" customFormat="1" ht="35.25" customHeight="1">
      <c r="A18" s="27" t="s">
        <v>19</v>
      </c>
      <c r="B18" s="28">
        <f>SUM(B17)</f>
        <v>91632.87</v>
      </c>
      <c r="C18" s="433"/>
      <c r="D18" s="29"/>
      <c r="E18" s="30"/>
      <c r="F18" s="37">
        <f>F17</f>
        <v>9357</v>
      </c>
      <c r="G18" s="98"/>
      <c r="H18" s="27"/>
      <c r="I18" s="27"/>
      <c r="J18" s="123"/>
      <c r="K18" s="124"/>
    </row>
    <row r="19" spans="1:11" s="122" customFormat="1" ht="21" customHeight="1">
      <c r="A19" s="21" t="s">
        <v>55</v>
      </c>
      <c r="B19" s="22">
        <v>10132</v>
      </c>
      <c r="C19" s="431" t="s">
        <v>96</v>
      </c>
      <c r="D19" s="38"/>
      <c r="E19" s="39"/>
      <c r="F19" s="25"/>
      <c r="G19" s="97"/>
      <c r="H19" s="26"/>
      <c r="I19" s="26"/>
      <c r="J19" s="121"/>
      <c r="K19" s="126"/>
    </row>
    <row r="20" spans="1:11" s="125" customFormat="1" ht="17.25" customHeight="1">
      <c r="A20" s="27" t="s">
        <v>20</v>
      </c>
      <c r="B20" s="28">
        <f>B19</f>
        <v>10132</v>
      </c>
      <c r="C20" s="433"/>
      <c r="D20" s="23"/>
      <c r="E20" s="33"/>
      <c r="F20" s="31"/>
      <c r="G20" s="98"/>
      <c r="H20" s="27"/>
      <c r="I20" s="27"/>
      <c r="J20" s="123"/>
      <c r="K20" s="124"/>
    </row>
    <row r="21" spans="1:11" s="122" customFormat="1" ht="20.25" customHeight="1">
      <c r="A21" s="21" t="s">
        <v>8</v>
      </c>
      <c r="B21" s="22">
        <v>23945</v>
      </c>
      <c r="C21" s="431" t="s">
        <v>116</v>
      </c>
      <c r="D21" s="38"/>
      <c r="E21" s="39"/>
      <c r="F21" s="25"/>
      <c r="G21" s="97"/>
      <c r="H21" s="41"/>
      <c r="I21" s="97"/>
      <c r="J21" s="121"/>
      <c r="K21" s="126"/>
    </row>
    <row r="22" spans="1:11" s="125" customFormat="1" ht="29.25" customHeight="1">
      <c r="A22" s="27" t="s">
        <v>20</v>
      </c>
      <c r="B22" s="28">
        <f>B21</f>
        <v>23945</v>
      </c>
      <c r="C22" s="433"/>
      <c r="D22" s="109"/>
      <c r="E22" s="112"/>
      <c r="F22" s="113"/>
      <c r="G22" s="110"/>
      <c r="H22" s="114">
        <f>H21</f>
        <v>0</v>
      </c>
      <c r="I22" s="115"/>
      <c r="J22" s="123"/>
      <c r="K22" s="124"/>
    </row>
    <row r="23" spans="1:11" s="125" customFormat="1" ht="20.25" customHeight="1">
      <c r="A23" s="448" t="s">
        <v>9</v>
      </c>
      <c r="B23" s="450">
        <v>108539</v>
      </c>
      <c r="C23" s="431" t="s">
        <v>97</v>
      </c>
      <c r="D23" s="428"/>
      <c r="E23" s="429"/>
      <c r="F23" s="430"/>
      <c r="G23" s="427"/>
      <c r="H23" s="426"/>
      <c r="I23" s="426"/>
      <c r="J23" s="123"/>
      <c r="K23" s="124"/>
    </row>
    <row r="24" spans="1:11" s="125" customFormat="1" ht="8.25" customHeight="1">
      <c r="A24" s="449"/>
      <c r="B24" s="451"/>
      <c r="C24" s="432"/>
      <c r="D24" s="428"/>
      <c r="E24" s="429"/>
      <c r="F24" s="430"/>
      <c r="G24" s="427"/>
      <c r="H24" s="426"/>
      <c r="I24" s="426"/>
      <c r="J24" s="123"/>
      <c r="K24" s="124"/>
    </row>
    <row r="25" spans="1:11" s="125" customFormat="1" ht="38.25" customHeight="1">
      <c r="A25" s="27" t="s">
        <v>20</v>
      </c>
      <c r="B25" s="28">
        <f>SUM(B23:B24)</f>
        <v>108539</v>
      </c>
      <c r="C25" s="433"/>
      <c r="D25" s="23"/>
      <c r="E25" s="119"/>
      <c r="F25" s="74"/>
      <c r="G25" s="98"/>
      <c r="H25" s="60"/>
      <c r="I25" s="60"/>
      <c r="J25" s="123"/>
      <c r="K25" s="124"/>
    </row>
    <row r="26" spans="1:11" s="122" customFormat="1" ht="18" customHeight="1">
      <c r="A26" s="21" t="s">
        <v>10</v>
      </c>
      <c r="B26" s="22">
        <v>27480.35</v>
      </c>
      <c r="C26" s="431" t="s">
        <v>89</v>
      </c>
      <c r="D26" s="23"/>
      <c r="E26" s="119"/>
      <c r="F26" s="59"/>
      <c r="G26" s="97"/>
      <c r="H26" s="19"/>
      <c r="I26" s="19"/>
      <c r="J26" s="121"/>
      <c r="K26" s="126"/>
    </row>
    <row r="27" spans="1:11" s="125" customFormat="1" ht="16.5" customHeight="1">
      <c r="A27" s="27" t="s">
        <v>20</v>
      </c>
      <c r="B27" s="28">
        <f>SUM(B26)</f>
        <v>27480.35</v>
      </c>
      <c r="C27" s="433"/>
      <c r="D27" s="23"/>
      <c r="E27" s="119"/>
      <c r="F27" s="57"/>
      <c r="G27" s="98"/>
      <c r="H27" s="60"/>
      <c r="I27" s="60"/>
      <c r="J27" s="123"/>
      <c r="K27" s="124"/>
    </row>
    <row r="28" spans="1:10" s="122" customFormat="1" ht="31.5" customHeight="1">
      <c r="A28" s="448" t="s">
        <v>11</v>
      </c>
      <c r="B28" s="450">
        <v>68894.29</v>
      </c>
      <c r="C28" s="444" t="s">
        <v>124</v>
      </c>
      <c r="D28" s="23"/>
      <c r="E28" s="119"/>
      <c r="F28" s="75"/>
      <c r="G28" s="97"/>
      <c r="H28" s="19"/>
      <c r="I28" s="19"/>
      <c r="J28" s="121"/>
    </row>
    <row r="29" spans="1:10" s="122" customFormat="1" ht="0.75" customHeight="1" hidden="1">
      <c r="A29" s="449"/>
      <c r="B29" s="451"/>
      <c r="C29" s="468"/>
      <c r="D29" s="23"/>
      <c r="E29" s="119"/>
      <c r="F29" s="75"/>
      <c r="G29" s="97"/>
      <c r="H29" s="19"/>
      <c r="I29" s="19"/>
      <c r="J29" s="121"/>
    </row>
    <row r="30" spans="1:10" s="125" customFormat="1" ht="16.5" customHeight="1">
      <c r="A30" s="27" t="s">
        <v>20</v>
      </c>
      <c r="B30" s="28">
        <f>SUM(B28:B29)</f>
        <v>68894.29</v>
      </c>
      <c r="C30" s="445"/>
      <c r="D30" s="19"/>
      <c r="E30" s="43"/>
      <c r="F30" s="74"/>
      <c r="G30" s="98"/>
      <c r="H30" s="60"/>
      <c r="I30" s="60"/>
      <c r="J30" s="123"/>
    </row>
    <row r="31" spans="1:10" s="122" customFormat="1" ht="6" customHeight="1" hidden="1">
      <c r="A31" s="448" t="s">
        <v>49</v>
      </c>
      <c r="B31" s="450">
        <v>25404.2</v>
      </c>
      <c r="C31" s="40"/>
      <c r="D31" s="23"/>
      <c r="E31" s="119"/>
      <c r="F31" s="75"/>
      <c r="G31" s="97"/>
      <c r="H31" s="19"/>
      <c r="I31" s="19"/>
      <c r="J31" s="121"/>
    </row>
    <row r="32" spans="1:10" s="122" customFormat="1" ht="19.5" customHeight="1">
      <c r="A32" s="449"/>
      <c r="B32" s="451"/>
      <c r="C32" s="431" t="s">
        <v>125</v>
      </c>
      <c r="D32" s="23"/>
      <c r="E32" s="119"/>
      <c r="F32" s="75"/>
      <c r="G32" s="97"/>
      <c r="H32" s="19"/>
      <c r="I32" s="19"/>
      <c r="J32" s="121"/>
    </row>
    <row r="33" spans="1:10" s="125" customFormat="1" ht="17.25" customHeight="1">
      <c r="A33" s="27" t="s">
        <v>20</v>
      </c>
      <c r="B33" s="28">
        <v>25404.2</v>
      </c>
      <c r="C33" s="433"/>
      <c r="D33" s="116"/>
      <c r="E33" s="117"/>
      <c r="F33" s="118"/>
      <c r="G33" s="111"/>
      <c r="H33" s="85"/>
      <c r="I33" s="85"/>
      <c r="J33" s="123"/>
    </row>
    <row r="34" spans="1:10" s="122" customFormat="1" ht="21.75" customHeight="1">
      <c r="A34" s="21" t="s">
        <v>12</v>
      </c>
      <c r="B34" s="22">
        <v>26465</v>
      </c>
      <c r="C34" s="431" t="s">
        <v>80</v>
      </c>
      <c r="D34" s="19"/>
      <c r="E34" s="43"/>
      <c r="F34" s="76"/>
      <c r="G34" s="97"/>
      <c r="H34" s="19"/>
      <c r="I34" s="19"/>
      <c r="J34" s="121"/>
    </row>
    <row r="35" spans="1:10" s="125" customFormat="1" ht="16.5" customHeight="1">
      <c r="A35" s="27" t="s">
        <v>20</v>
      </c>
      <c r="B35" s="28">
        <f>SUM(B34)</f>
        <v>26465</v>
      </c>
      <c r="C35" s="433"/>
      <c r="D35" s="44"/>
      <c r="E35" s="45"/>
      <c r="F35" s="77"/>
      <c r="G35" s="98"/>
      <c r="H35" s="60"/>
      <c r="I35" s="60"/>
      <c r="J35" s="123"/>
    </row>
    <row r="36" spans="1:10" s="122" customFormat="1" ht="18" customHeight="1">
      <c r="A36" s="21" t="s">
        <v>21</v>
      </c>
      <c r="B36" s="22">
        <v>18720</v>
      </c>
      <c r="C36" s="431" t="s">
        <v>90</v>
      </c>
      <c r="D36" s="44"/>
      <c r="E36" s="43"/>
      <c r="F36" s="76"/>
      <c r="G36" s="97"/>
      <c r="H36" s="19"/>
      <c r="I36" s="19"/>
      <c r="J36" s="121"/>
    </row>
    <row r="37" spans="1:10" s="125" customFormat="1" ht="16.5" customHeight="1">
      <c r="A37" s="27" t="s">
        <v>20</v>
      </c>
      <c r="B37" s="28">
        <f>SUM(B36:B36)</f>
        <v>18720</v>
      </c>
      <c r="C37" s="433"/>
      <c r="D37" s="19"/>
      <c r="E37" s="43"/>
      <c r="F37" s="77"/>
      <c r="G37" s="98"/>
      <c r="H37" s="60"/>
      <c r="I37" s="60"/>
      <c r="J37" s="123"/>
    </row>
    <row r="38" spans="1:10" s="122" customFormat="1" ht="22.5" customHeight="1">
      <c r="A38" s="21" t="s">
        <v>13</v>
      </c>
      <c r="B38" s="22">
        <v>16983.2</v>
      </c>
      <c r="C38" s="431" t="s">
        <v>126</v>
      </c>
      <c r="D38" s="44"/>
      <c r="E38" s="42"/>
      <c r="F38" s="43"/>
      <c r="G38" s="97"/>
      <c r="H38" s="19"/>
      <c r="I38" s="19"/>
      <c r="J38" s="121"/>
    </row>
    <row r="39" spans="1:10" s="125" customFormat="1" ht="17.25" customHeight="1">
      <c r="A39" s="27" t="s">
        <v>20</v>
      </c>
      <c r="B39" s="28">
        <f>SUM(B38)</f>
        <v>16983.2</v>
      </c>
      <c r="C39" s="433"/>
      <c r="D39" s="44"/>
      <c r="E39" s="42"/>
      <c r="F39" s="74"/>
      <c r="G39" s="98"/>
      <c r="H39" s="60"/>
      <c r="I39" s="60"/>
      <c r="J39" s="123"/>
    </row>
    <row r="40" spans="1:10" s="122" customFormat="1" ht="21" customHeight="1">
      <c r="A40" s="21" t="s">
        <v>14</v>
      </c>
      <c r="B40" s="22">
        <f>8120.7+711.9</f>
        <v>8832.6</v>
      </c>
      <c r="C40" s="431" t="s">
        <v>81</v>
      </c>
      <c r="D40" s="44"/>
      <c r="E40" s="42"/>
      <c r="F40" s="43"/>
      <c r="G40" s="97"/>
      <c r="H40" s="19"/>
      <c r="I40" s="19"/>
      <c r="J40" s="121"/>
    </row>
    <row r="41" spans="1:10" s="125" customFormat="1" ht="17.25" customHeight="1">
      <c r="A41" s="27" t="s">
        <v>20</v>
      </c>
      <c r="B41" s="28">
        <f>SUM(B40:B40)</f>
        <v>8832.6</v>
      </c>
      <c r="C41" s="433"/>
      <c r="D41" s="44"/>
      <c r="E41" s="42"/>
      <c r="F41" s="74">
        <f>F40</f>
        <v>0</v>
      </c>
      <c r="G41" s="98"/>
      <c r="H41" s="60"/>
      <c r="I41" s="60"/>
      <c r="J41" s="123"/>
    </row>
    <row r="42" spans="1:10" s="122" customFormat="1" ht="19.5" customHeight="1">
      <c r="A42" s="21" t="s">
        <v>15</v>
      </c>
      <c r="B42" s="22">
        <v>8785.5</v>
      </c>
      <c r="C42" s="431" t="s">
        <v>79</v>
      </c>
      <c r="D42" s="44"/>
      <c r="E42" s="46"/>
      <c r="F42" s="43"/>
      <c r="G42" s="97"/>
      <c r="H42" s="19"/>
      <c r="I42" s="19"/>
      <c r="J42" s="121"/>
    </row>
    <row r="43" spans="1:10" s="125" customFormat="1" ht="16.5" customHeight="1">
      <c r="A43" s="27" t="s">
        <v>20</v>
      </c>
      <c r="B43" s="28">
        <f>SUM(B42:B42)</f>
        <v>8785.5</v>
      </c>
      <c r="C43" s="433"/>
      <c r="D43" s="44"/>
      <c r="E43" s="46"/>
      <c r="F43" s="74"/>
      <c r="G43" s="98"/>
      <c r="H43" s="60"/>
      <c r="I43" s="60"/>
      <c r="J43" s="123"/>
    </row>
    <row r="44" spans="1:10" s="122" customFormat="1" ht="21.75" customHeight="1">
      <c r="A44" s="21" t="s">
        <v>16</v>
      </c>
      <c r="B44" s="22">
        <v>25196.58</v>
      </c>
      <c r="C44" s="431" t="s">
        <v>127</v>
      </c>
      <c r="D44" s="44"/>
      <c r="E44" s="46"/>
      <c r="F44" s="43"/>
      <c r="G44" s="97"/>
      <c r="H44" s="19"/>
      <c r="I44" s="19"/>
      <c r="J44" s="121"/>
    </row>
    <row r="45" spans="1:10" s="125" customFormat="1" ht="16.5" customHeight="1">
      <c r="A45" s="27" t="s">
        <v>20</v>
      </c>
      <c r="B45" s="28">
        <f>SUM(B44:B44)</f>
        <v>25196.58</v>
      </c>
      <c r="C45" s="433"/>
      <c r="D45" s="44"/>
      <c r="E45" s="46"/>
      <c r="F45" s="74">
        <f>F44</f>
        <v>0</v>
      </c>
      <c r="G45" s="98"/>
      <c r="H45" s="60"/>
      <c r="I45" s="60"/>
      <c r="J45" s="123"/>
    </row>
    <row r="46" spans="1:10" s="122" customFormat="1" ht="18.75" customHeight="1">
      <c r="A46" s="21" t="s">
        <v>17</v>
      </c>
      <c r="B46" s="47">
        <v>13350.15</v>
      </c>
      <c r="C46" s="431" t="s">
        <v>77</v>
      </c>
      <c r="D46" s="19"/>
      <c r="E46" s="46"/>
      <c r="F46" s="43"/>
      <c r="G46" s="99"/>
      <c r="H46" s="19"/>
      <c r="I46" s="19"/>
      <c r="J46" s="121"/>
    </row>
    <row r="47" spans="1:10" s="125" customFormat="1" ht="17.25" customHeight="1">
      <c r="A47" s="27" t="s">
        <v>20</v>
      </c>
      <c r="B47" s="48">
        <f>SUM(B46:B46)</f>
        <v>13350.15</v>
      </c>
      <c r="C47" s="433"/>
      <c r="D47" s="44"/>
      <c r="E47" s="42"/>
      <c r="F47" s="74"/>
      <c r="G47" s="98"/>
      <c r="H47" s="60"/>
      <c r="I47" s="60"/>
      <c r="J47" s="123"/>
    </row>
    <row r="48" spans="1:10" s="122" customFormat="1" ht="18.75" customHeight="1">
      <c r="A48" s="49" t="s">
        <v>18</v>
      </c>
      <c r="B48" s="22">
        <v>7132</v>
      </c>
      <c r="C48" s="431" t="s">
        <v>77</v>
      </c>
      <c r="D48" s="44"/>
      <c r="E48" s="42"/>
      <c r="F48" s="43"/>
      <c r="G48" s="97"/>
      <c r="H48" s="19"/>
      <c r="I48" s="19"/>
      <c r="J48" s="121"/>
    </row>
    <row r="49" spans="1:10" s="122" customFormat="1" ht="19.5" customHeight="1" thickBot="1">
      <c r="A49" s="27" t="s">
        <v>20</v>
      </c>
      <c r="B49" s="28">
        <f>SUM(B48:B48)</f>
        <v>7132</v>
      </c>
      <c r="C49" s="433"/>
      <c r="D49" s="44"/>
      <c r="E49" s="43"/>
      <c r="F49" s="74">
        <f>F48</f>
        <v>0</v>
      </c>
      <c r="G49" s="97"/>
      <c r="H49" s="19"/>
      <c r="I49" s="19"/>
      <c r="J49" s="121"/>
    </row>
    <row r="50" spans="1:10" s="128" customFormat="1" ht="36.75" customHeight="1" thickBot="1">
      <c r="A50" s="52" t="s">
        <v>68</v>
      </c>
      <c r="B50" s="53">
        <f>SUM(B14+B16+B18+B20+B22+B25+B27+B30+B33+B35+B37+B39+B41+B43+B45+B47+B49)</f>
        <v>501199.68</v>
      </c>
      <c r="C50" s="133"/>
      <c r="D50" s="134"/>
      <c r="E50" s="135"/>
      <c r="F50" s="80">
        <f>F41+F49+F18+F45</f>
        <v>9357</v>
      </c>
      <c r="G50" s="136"/>
      <c r="H50" s="137">
        <f>H22</f>
        <v>0</v>
      </c>
      <c r="I50" s="138"/>
      <c r="J50" s="127"/>
    </row>
    <row r="51" spans="1:10" s="122" customFormat="1" ht="24" customHeight="1">
      <c r="A51" s="26" t="s">
        <v>41</v>
      </c>
      <c r="B51" s="22">
        <v>39002.8</v>
      </c>
      <c r="C51" s="431" t="s">
        <v>82</v>
      </c>
      <c r="D51" s="56"/>
      <c r="E51" s="83"/>
      <c r="F51" s="84"/>
      <c r="G51" s="97"/>
      <c r="H51" s="85"/>
      <c r="I51" s="85"/>
      <c r="J51" s="123"/>
    </row>
    <row r="52" spans="1:10" s="125" customFormat="1" ht="17.25" customHeight="1">
      <c r="A52" s="27" t="s">
        <v>20</v>
      </c>
      <c r="B52" s="28">
        <f>SUM(B51:B51)</f>
        <v>39002.8</v>
      </c>
      <c r="C52" s="433"/>
      <c r="D52" s="57"/>
      <c r="E52" s="58"/>
      <c r="F52" s="74">
        <f>F51</f>
        <v>0</v>
      </c>
      <c r="G52" s="98"/>
      <c r="H52" s="60"/>
      <c r="I52" s="60"/>
      <c r="J52" s="123"/>
    </row>
    <row r="53" spans="1:10" s="122" customFormat="1" ht="24" customHeight="1">
      <c r="A53" s="26" t="s">
        <v>56</v>
      </c>
      <c r="B53" s="22">
        <v>24471.4</v>
      </c>
      <c r="C53" s="431" t="s">
        <v>78</v>
      </c>
      <c r="D53" s="56"/>
      <c r="E53" s="83"/>
      <c r="F53" s="84"/>
      <c r="G53" s="97"/>
      <c r="H53" s="85"/>
      <c r="I53" s="85"/>
      <c r="J53" s="123"/>
    </row>
    <row r="54" spans="1:10" s="125" customFormat="1" ht="17.25" customHeight="1">
      <c r="A54" s="27" t="s">
        <v>20</v>
      </c>
      <c r="B54" s="28">
        <f>SUM(B53:B53)</f>
        <v>24471.4</v>
      </c>
      <c r="C54" s="433"/>
      <c r="D54" s="57"/>
      <c r="E54" s="58"/>
      <c r="F54" s="74">
        <f>F53</f>
        <v>0</v>
      </c>
      <c r="G54" s="98"/>
      <c r="H54" s="60"/>
      <c r="I54" s="60"/>
      <c r="J54" s="123"/>
    </row>
    <row r="55" spans="1:10" s="125" customFormat="1" ht="57" customHeight="1">
      <c r="A55" s="21" t="s">
        <v>39</v>
      </c>
      <c r="B55" s="22">
        <v>24844</v>
      </c>
      <c r="C55" s="120" t="s">
        <v>117</v>
      </c>
      <c r="D55" s="57"/>
      <c r="E55" s="58"/>
      <c r="F55" s="43">
        <v>986</v>
      </c>
      <c r="G55" s="97" t="s">
        <v>110</v>
      </c>
      <c r="H55" s="60"/>
      <c r="I55" s="60"/>
      <c r="J55" s="123"/>
    </row>
    <row r="56" spans="1:10" s="125" customFormat="1" ht="17.25" customHeight="1">
      <c r="A56" s="27" t="s">
        <v>20</v>
      </c>
      <c r="B56" s="28">
        <f>SUM(B55:B55)</f>
        <v>24844</v>
      </c>
      <c r="C56" s="94"/>
      <c r="D56" s="57"/>
      <c r="E56" s="58"/>
      <c r="F56" s="74">
        <f>F55</f>
        <v>986</v>
      </c>
      <c r="G56" s="98"/>
      <c r="H56" s="60"/>
      <c r="I56" s="60"/>
      <c r="J56" s="123"/>
    </row>
    <row r="57" spans="1:10" s="122" customFormat="1" ht="57" customHeight="1">
      <c r="A57" s="21" t="s">
        <v>38</v>
      </c>
      <c r="B57" s="22">
        <v>1015</v>
      </c>
      <c r="C57" s="40" t="s">
        <v>83</v>
      </c>
      <c r="D57" s="59"/>
      <c r="E57" s="78"/>
      <c r="F57" s="43">
        <v>826.5</v>
      </c>
      <c r="G57" s="97" t="s">
        <v>110</v>
      </c>
      <c r="H57" s="78"/>
      <c r="I57" s="19"/>
      <c r="J57" s="73"/>
    </row>
    <row r="58" spans="1:10" s="125" customFormat="1" ht="16.5" customHeight="1">
      <c r="A58" s="27" t="s">
        <v>20</v>
      </c>
      <c r="B58" s="28">
        <f>SUM(B57:B57)</f>
        <v>1015</v>
      </c>
      <c r="C58" s="94"/>
      <c r="D58" s="57">
        <f>D57</f>
        <v>0</v>
      </c>
      <c r="E58" s="86"/>
      <c r="F58" s="74">
        <f>F57</f>
        <v>826.5</v>
      </c>
      <c r="G58" s="102"/>
      <c r="H58" s="86"/>
      <c r="I58" s="60"/>
      <c r="J58" s="129"/>
    </row>
    <row r="59" spans="1:10" s="125" customFormat="1" ht="28.5" customHeight="1">
      <c r="A59" s="21" t="s">
        <v>40</v>
      </c>
      <c r="B59" s="22"/>
      <c r="C59" s="40"/>
      <c r="D59" s="44"/>
      <c r="E59" s="86"/>
      <c r="F59" s="43">
        <v>449.5</v>
      </c>
      <c r="G59" s="97" t="s">
        <v>110</v>
      </c>
      <c r="H59" s="86"/>
      <c r="I59" s="60"/>
      <c r="J59" s="129"/>
    </row>
    <row r="60" spans="1:10" s="125" customFormat="1" ht="17.25" customHeight="1">
      <c r="A60" s="27" t="s">
        <v>20</v>
      </c>
      <c r="B60" s="28">
        <f>SUM(B59:B59)</f>
        <v>0</v>
      </c>
      <c r="C60" s="96"/>
      <c r="D60" s="60"/>
      <c r="E60" s="61"/>
      <c r="F60" s="57">
        <f>F59</f>
        <v>449.5</v>
      </c>
      <c r="G60" s="102"/>
      <c r="H60" s="86"/>
      <c r="I60" s="60"/>
      <c r="J60" s="129"/>
    </row>
    <row r="61" spans="1:10" s="125" customFormat="1" ht="54.75" customHeight="1">
      <c r="A61" s="21" t="s">
        <v>42</v>
      </c>
      <c r="B61" s="22">
        <v>4952</v>
      </c>
      <c r="C61" s="40" t="s">
        <v>128</v>
      </c>
      <c r="D61" s="44"/>
      <c r="E61" s="45"/>
      <c r="F61" s="59">
        <v>507.5</v>
      </c>
      <c r="G61" s="97" t="s">
        <v>110</v>
      </c>
      <c r="H61" s="86"/>
      <c r="I61" s="60"/>
      <c r="J61" s="129"/>
    </row>
    <row r="62" spans="1:10" s="125" customFormat="1" ht="17.25" customHeight="1">
      <c r="A62" s="27" t="s">
        <v>20</v>
      </c>
      <c r="B62" s="28">
        <f>SUM(B61:B61)</f>
        <v>4952</v>
      </c>
      <c r="C62" s="96"/>
      <c r="D62" s="62"/>
      <c r="E62" s="61"/>
      <c r="F62" s="57">
        <f>F61</f>
        <v>507.5</v>
      </c>
      <c r="G62" s="102"/>
      <c r="H62" s="86"/>
      <c r="I62" s="60"/>
      <c r="J62" s="129"/>
    </row>
    <row r="63" spans="1:10" s="122" customFormat="1" ht="52.5" customHeight="1">
      <c r="A63" s="21" t="s">
        <v>29</v>
      </c>
      <c r="B63" s="22">
        <v>64331.7</v>
      </c>
      <c r="C63" s="431" t="s">
        <v>118</v>
      </c>
      <c r="D63" s="45"/>
      <c r="E63" s="57"/>
      <c r="F63" s="45">
        <v>1711</v>
      </c>
      <c r="G63" s="97" t="s">
        <v>110</v>
      </c>
      <c r="H63" s="43"/>
      <c r="I63" s="19"/>
      <c r="J63" s="73"/>
    </row>
    <row r="64" spans="1:10" s="125" customFormat="1" ht="33.75" customHeight="1">
      <c r="A64" s="27" t="s">
        <v>20</v>
      </c>
      <c r="B64" s="28">
        <f>SUM(B63:B63)</f>
        <v>64331.7</v>
      </c>
      <c r="C64" s="433"/>
      <c r="D64" s="62"/>
      <c r="E64" s="61"/>
      <c r="F64" s="57">
        <f>F63</f>
        <v>1711</v>
      </c>
      <c r="G64" s="102"/>
      <c r="H64" s="74">
        <f>H63</f>
        <v>0</v>
      </c>
      <c r="I64" s="60"/>
      <c r="J64" s="129"/>
    </row>
    <row r="65" spans="1:10" s="125" customFormat="1" ht="174.75" customHeight="1" hidden="1">
      <c r="A65" s="27" t="s">
        <v>20</v>
      </c>
      <c r="B65" s="28">
        <f>SUM(B63:B64)</f>
        <v>128663.4</v>
      </c>
      <c r="C65" s="94"/>
      <c r="D65" s="61"/>
      <c r="E65" s="57"/>
      <c r="F65" s="61"/>
      <c r="G65" s="102"/>
      <c r="H65" s="86"/>
      <c r="I65" s="86"/>
      <c r="J65" s="129"/>
    </row>
    <row r="66" spans="1:10" s="125" customFormat="1" ht="16.5" customHeight="1" hidden="1">
      <c r="A66" s="21" t="s">
        <v>37</v>
      </c>
      <c r="B66" s="22">
        <v>10999</v>
      </c>
      <c r="C66" s="40" t="s">
        <v>52</v>
      </c>
      <c r="D66" s="61"/>
      <c r="E66" s="57"/>
      <c r="F66" s="61"/>
      <c r="G66" s="102"/>
      <c r="H66" s="86"/>
      <c r="I66" s="86"/>
      <c r="J66" s="129"/>
    </row>
    <row r="67" spans="1:10" s="122" customFormat="1" ht="17.25" customHeight="1" hidden="1">
      <c r="A67" s="21" t="s">
        <v>37</v>
      </c>
      <c r="B67" s="22">
        <v>1219</v>
      </c>
      <c r="C67" s="40" t="s">
        <v>43</v>
      </c>
      <c r="D67" s="45"/>
      <c r="E67" s="57"/>
      <c r="F67" s="45"/>
      <c r="G67" s="97"/>
      <c r="H67" s="78"/>
      <c r="I67" s="19"/>
      <c r="J67" s="73"/>
    </row>
    <row r="68" spans="1:10" s="125" customFormat="1" ht="16.5" customHeight="1" hidden="1">
      <c r="A68" s="27" t="s">
        <v>20</v>
      </c>
      <c r="B68" s="28">
        <f>SUM(B66:B67)</f>
        <v>12218</v>
      </c>
      <c r="C68" s="94"/>
      <c r="D68" s="61"/>
      <c r="E68" s="57"/>
      <c r="F68" s="61"/>
      <c r="G68" s="102"/>
      <c r="H68" s="86"/>
      <c r="I68" s="86"/>
      <c r="J68" s="129"/>
    </row>
    <row r="69" spans="1:10" s="125" customFormat="1" ht="16.5" customHeight="1" hidden="1">
      <c r="A69" s="21" t="s">
        <v>30</v>
      </c>
      <c r="B69" s="63">
        <v>3133</v>
      </c>
      <c r="C69" s="40" t="s">
        <v>44</v>
      </c>
      <c r="D69" s="45"/>
      <c r="E69" s="57"/>
      <c r="F69" s="61"/>
      <c r="G69" s="102"/>
      <c r="H69" s="86"/>
      <c r="I69" s="86"/>
      <c r="J69" s="129"/>
    </row>
    <row r="70" spans="1:10" s="125" customFormat="1" ht="18.75" customHeight="1" hidden="1">
      <c r="A70" s="21" t="s">
        <v>30</v>
      </c>
      <c r="B70" s="63">
        <v>120</v>
      </c>
      <c r="C70" s="40" t="s">
        <v>36</v>
      </c>
      <c r="D70" s="45"/>
      <c r="E70" s="57"/>
      <c r="F70" s="61"/>
      <c r="G70" s="102"/>
      <c r="H70" s="86"/>
      <c r="I70" s="86"/>
      <c r="J70" s="129"/>
    </row>
    <row r="71" spans="1:10" s="125" customFormat="1" ht="18.75" customHeight="1" hidden="1">
      <c r="A71" s="21" t="s">
        <v>30</v>
      </c>
      <c r="B71" s="63">
        <v>210</v>
      </c>
      <c r="C71" s="40" t="s">
        <v>36</v>
      </c>
      <c r="D71" s="45"/>
      <c r="E71" s="57"/>
      <c r="F71" s="61"/>
      <c r="G71" s="102"/>
      <c r="H71" s="86"/>
      <c r="I71" s="86"/>
      <c r="J71" s="129"/>
    </row>
    <row r="72" spans="1:10" s="125" customFormat="1" ht="16.5" customHeight="1" hidden="1">
      <c r="A72" s="27" t="s">
        <v>20</v>
      </c>
      <c r="B72" s="64">
        <f>SUM(B69:B71)</f>
        <v>3463</v>
      </c>
      <c r="C72" s="94"/>
      <c r="D72" s="61"/>
      <c r="E72" s="57"/>
      <c r="F72" s="61"/>
      <c r="G72" s="102"/>
      <c r="H72" s="86"/>
      <c r="I72" s="86"/>
      <c r="J72" s="129"/>
    </row>
    <row r="73" spans="1:10" s="125" customFormat="1" ht="17.25" customHeight="1" hidden="1">
      <c r="A73" s="21" t="s">
        <v>31</v>
      </c>
      <c r="B73" s="65">
        <v>60</v>
      </c>
      <c r="C73" s="40" t="s">
        <v>48</v>
      </c>
      <c r="D73" s="65">
        <v>149639.87</v>
      </c>
      <c r="E73" s="62" t="s">
        <v>47</v>
      </c>
      <c r="F73" s="59"/>
      <c r="G73" s="102"/>
      <c r="H73" s="21"/>
      <c r="I73" s="86"/>
      <c r="J73" s="129"/>
    </row>
    <row r="74" spans="1:10" s="125" customFormat="1" ht="17.25" customHeight="1" hidden="1">
      <c r="A74" s="21" t="s">
        <v>31</v>
      </c>
      <c r="B74" s="65">
        <v>3951.33</v>
      </c>
      <c r="C74" s="40" t="s">
        <v>51</v>
      </c>
      <c r="D74" s="65"/>
      <c r="E74" s="62"/>
      <c r="F74" s="59"/>
      <c r="G74" s="72"/>
      <c r="H74" s="21"/>
      <c r="I74" s="86"/>
      <c r="J74" s="129"/>
    </row>
    <row r="75" spans="1:10" s="122" customFormat="1" ht="55.5" customHeight="1">
      <c r="A75" s="21" t="s">
        <v>37</v>
      </c>
      <c r="B75" s="22">
        <f>68973.1+6350+14600</f>
        <v>89923.1</v>
      </c>
      <c r="C75" s="40" t="s">
        <v>119</v>
      </c>
      <c r="D75" s="45"/>
      <c r="E75" s="57"/>
      <c r="F75" s="45">
        <v>1102</v>
      </c>
      <c r="G75" s="97" t="s">
        <v>110</v>
      </c>
      <c r="H75" s="78"/>
      <c r="I75" s="19"/>
      <c r="J75" s="73"/>
    </row>
    <row r="76" spans="1:10" s="125" customFormat="1" ht="17.25" customHeight="1">
      <c r="A76" s="27" t="s">
        <v>20</v>
      </c>
      <c r="B76" s="28">
        <f>SUM(B75:B75)</f>
        <v>89923.1</v>
      </c>
      <c r="C76" s="96"/>
      <c r="D76" s="62"/>
      <c r="E76" s="61"/>
      <c r="F76" s="57">
        <f>F75</f>
        <v>1102</v>
      </c>
      <c r="G76" s="102"/>
      <c r="H76" s="86"/>
      <c r="I76" s="60"/>
      <c r="J76" s="129"/>
    </row>
    <row r="77" spans="1:10" s="122" customFormat="1" ht="52.5" customHeight="1">
      <c r="A77" s="21" t="s">
        <v>30</v>
      </c>
      <c r="B77" s="22">
        <v>25303.96</v>
      </c>
      <c r="C77" s="40" t="s">
        <v>120</v>
      </c>
      <c r="D77" s="45"/>
      <c r="E77" s="57"/>
      <c r="F77" s="45">
        <v>435</v>
      </c>
      <c r="G77" s="97" t="s">
        <v>110</v>
      </c>
      <c r="H77" s="78"/>
      <c r="I77" s="19"/>
      <c r="J77" s="73"/>
    </row>
    <row r="78" spans="1:10" s="125" customFormat="1" ht="17.25" customHeight="1">
      <c r="A78" s="27" t="s">
        <v>20</v>
      </c>
      <c r="B78" s="28">
        <f>SUM(B77:B77)</f>
        <v>25303.96</v>
      </c>
      <c r="C78" s="96"/>
      <c r="D78" s="62"/>
      <c r="E78" s="61"/>
      <c r="F78" s="57">
        <f>F77</f>
        <v>435</v>
      </c>
      <c r="G78" s="102"/>
      <c r="H78" s="86"/>
      <c r="I78" s="60"/>
      <c r="J78" s="129"/>
    </row>
    <row r="79" spans="1:10" s="122" customFormat="1" ht="54.75" customHeight="1">
      <c r="A79" s="21" t="s">
        <v>57</v>
      </c>
      <c r="B79" s="22">
        <v>734</v>
      </c>
      <c r="C79" s="40" t="s">
        <v>98</v>
      </c>
      <c r="D79" s="45"/>
      <c r="E79" s="57"/>
      <c r="F79" s="45">
        <v>580.5</v>
      </c>
      <c r="G79" s="97" t="s">
        <v>110</v>
      </c>
      <c r="H79" s="78"/>
      <c r="I79" s="19"/>
      <c r="J79" s="73"/>
    </row>
    <row r="80" spans="1:10" s="125" customFormat="1" ht="17.25" customHeight="1">
      <c r="A80" s="27" t="s">
        <v>20</v>
      </c>
      <c r="B80" s="28">
        <f>SUM(B79:B79)</f>
        <v>734</v>
      </c>
      <c r="C80" s="96"/>
      <c r="D80" s="62"/>
      <c r="E80" s="61"/>
      <c r="F80" s="57">
        <f>F79</f>
        <v>580.5</v>
      </c>
      <c r="G80" s="102"/>
      <c r="H80" s="86"/>
      <c r="I80" s="60"/>
      <c r="J80" s="129"/>
    </row>
    <row r="81" spans="1:10" s="122" customFormat="1" ht="53.25" customHeight="1">
      <c r="A81" s="21" t="s">
        <v>31</v>
      </c>
      <c r="B81" s="22">
        <f>48481.32+1116+463.5</f>
        <v>50060.82</v>
      </c>
      <c r="C81" s="40" t="s">
        <v>99</v>
      </c>
      <c r="D81" s="45">
        <v>9986</v>
      </c>
      <c r="E81" s="59" t="s">
        <v>121</v>
      </c>
      <c r="F81" s="45">
        <v>1189</v>
      </c>
      <c r="G81" s="97" t="s">
        <v>110</v>
      </c>
      <c r="H81" s="78"/>
      <c r="I81" s="19"/>
      <c r="J81" s="73"/>
    </row>
    <row r="82" spans="1:10" s="125" customFormat="1" ht="17.25" customHeight="1">
      <c r="A82" s="27" t="s">
        <v>20</v>
      </c>
      <c r="B82" s="28">
        <f>SUM(B81:B81)</f>
        <v>50060.82</v>
      </c>
      <c r="C82" s="96"/>
      <c r="D82" s="61">
        <v>9986</v>
      </c>
      <c r="E82" s="61"/>
      <c r="F82" s="57">
        <f>F81</f>
        <v>1189</v>
      </c>
      <c r="G82" s="102"/>
      <c r="H82" s="86"/>
      <c r="I82" s="60"/>
      <c r="J82" s="129"/>
    </row>
    <row r="83" spans="1:10" s="125" customFormat="1" ht="53.25" customHeight="1">
      <c r="A83" s="448" t="s">
        <v>58</v>
      </c>
      <c r="B83" s="28"/>
      <c r="C83" s="96"/>
      <c r="D83" s="139"/>
      <c r="E83" s="61"/>
      <c r="F83" s="59">
        <v>754</v>
      </c>
      <c r="G83" s="97" t="s">
        <v>110</v>
      </c>
      <c r="H83" s="86"/>
      <c r="I83" s="60"/>
      <c r="J83" s="129"/>
    </row>
    <row r="84" spans="1:10" s="125" customFormat="1" ht="100.5" customHeight="1">
      <c r="A84" s="449"/>
      <c r="B84" s="65"/>
      <c r="C84" s="40"/>
      <c r="D84" s="65"/>
      <c r="E84" s="62"/>
      <c r="F84" s="59">
        <v>7040</v>
      </c>
      <c r="G84" s="97" t="s">
        <v>72</v>
      </c>
      <c r="H84" s="21"/>
      <c r="I84" s="86"/>
      <c r="J84" s="129"/>
    </row>
    <row r="85" spans="1:10" s="125" customFormat="1" ht="16.5" customHeight="1">
      <c r="A85" s="27" t="s">
        <v>20</v>
      </c>
      <c r="B85" s="66">
        <f>B84</f>
        <v>0</v>
      </c>
      <c r="C85" s="94"/>
      <c r="D85" s="66"/>
      <c r="E85" s="57"/>
      <c r="F85" s="61">
        <f>F84+F83</f>
        <v>7794</v>
      </c>
      <c r="G85" s="102"/>
      <c r="H85" s="86"/>
      <c r="I85" s="86"/>
      <c r="J85" s="129"/>
    </row>
    <row r="86" spans="1:10" s="125" customFormat="1" ht="38.25" customHeight="1">
      <c r="A86" s="21" t="s">
        <v>33</v>
      </c>
      <c r="B86" s="65">
        <v>13730</v>
      </c>
      <c r="C86" s="40" t="s">
        <v>91</v>
      </c>
      <c r="D86" s="131">
        <v>206699.6</v>
      </c>
      <c r="E86" s="44" t="s">
        <v>100</v>
      </c>
      <c r="F86" s="59">
        <v>232</v>
      </c>
      <c r="G86" s="97" t="s">
        <v>110</v>
      </c>
      <c r="H86" s="21"/>
      <c r="I86" s="86"/>
      <c r="J86" s="129"/>
    </row>
    <row r="87" spans="1:10" s="125" customFormat="1" ht="24" customHeight="1">
      <c r="A87" s="27" t="s">
        <v>20</v>
      </c>
      <c r="B87" s="66">
        <f>SUM(B86)</f>
        <v>13730</v>
      </c>
      <c r="C87" s="94"/>
      <c r="D87" s="141">
        <v>206699.6</v>
      </c>
      <c r="E87" s="57"/>
      <c r="F87" s="61">
        <f>F86</f>
        <v>232</v>
      </c>
      <c r="G87" s="102"/>
      <c r="H87" s="86"/>
      <c r="I87" s="86"/>
      <c r="J87" s="129"/>
    </row>
    <row r="88" spans="1:10" s="125" customFormat="1" ht="52.5" customHeight="1">
      <c r="A88" s="448" t="s">
        <v>45</v>
      </c>
      <c r="B88" s="66"/>
      <c r="C88" s="94"/>
      <c r="D88" s="132"/>
      <c r="E88" s="57"/>
      <c r="F88" s="45">
        <v>1116.5</v>
      </c>
      <c r="G88" s="97" t="s">
        <v>110</v>
      </c>
      <c r="H88" s="86"/>
      <c r="I88" s="86"/>
      <c r="J88" s="129"/>
    </row>
    <row r="89" spans="1:10" s="125" customFormat="1" ht="98.25" customHeight="1">
      <c r="A89" s="449"/>
      <c r="B89" s="63">
        <v>450</v>
      </c>
      <c r="C89" s="40" t="s">
        <v>83</v>
      </c>
      <c r="D89" s="63"/>
      <c r="E89" s="62"/>
      <c r="F89" s="59">
        <f>15920+1080+2616.7</f>
        <v>19616.7</v>
      </c>
      <c r="G89" s="97" t="s">
        <v>73</v>
      </c>
      <c r="H89" s="86"/>
      <c r="I89" s="86"/>
      <c r="J89" s="129"/>
    </row>
    <row r="90" spans="1:10" s="125" customFormat="1" ht="16.5" customHeight="1">
      <c r="A90" s="27" t="s">
        <v>20</v>
      </c>
      <c r="B90" s="64">
        <f>B89</f>
        <v>450</v>
      </c>
      <c r="C90" s="94"/>
      <c r="D90" s="60"/>
      <c r="E90" s="57"/>
      <c r="F90" s="61">
        <f>F89+F88</f>
        <v>20733.2</v>
      </c>
      <c r="G90" s="102"/>
      <c r="H90" s="86"/>
      <c r="I90" s="86"/>
      <c r="J90" s="129"/>
    </row>
    <row r="91" spans="1:10" s="125" customFormat="1" ht="51" customHeight="1">
      <c r="A91" s="21" t="s">
        <v>59</v>
      </c>
      <c r="B91" s="63">
        <v>6220</v>
      </c>
      <c r="C91" s="40" t="s">
        <v>85</v>
      </c>
      <c r="D91" s="63"/>
      <c r="E91" s="62"/>
      <c r="F91" s="59">
        <v>1160</v>
      </c>
      <c r="G91" s="97" t="s">
        <v>110</v>
      </c>
      <c r="H91" s="86"/>
      <c r="I91" s="86"/>
      <c r="J91" s="129"/>
    </row>
    <row r="92" spans="1:10" s="125" customFormat="1" ht="16.5" customHeight="1">
      <c r="A92" s="27" t="s">
        <v>20</v>
      </c>
      <c r="B92" s="64">
        <f>B91</f>
        <v>6220</v>
      </c>
      <c r="C92" s="94"/>
      <c r="D92" s="60"/>
      <c r="E92" s="57"/>
      <c r="F92" s="61">
        <f>F91</f>
        <v>1160</v>
      </c>
      <c r="G92" s="102"/>
      <c r="H92" s="86"/>
      <c r="I92" s="86"/>
      <c r="J92" s="129"/>
    </row>
    <row r="93" spans="1:10" s="125" customFormat="1" ht="53.25" customHeight="1">
      <c r="A93" s="21" t="s">
        <v>50</v>
      </c>
      <c r="B93" s="63"/>
      <c r="C93" s="40"/>
      <c r="D93" s="63"/>
      <c r="E93" s="62"/>
      <c r="F93" s="59">
        <v>43.5</v>
      </c>
      <c r="G93" s="97" t="s">
        <v>110</v>
      </c>
      <c r="H93" s="86"/>
      <c r="I93" s="86"/>
      <c r="J93" s="129"/>
    </row>
    <row r="94" spans="1:10" s="125" customFormat="1" ht="16.5" customHeight="1">
      <c r="A94" s="27" t="s">
        <v>20</v>
      </c>
      <c r="B94" s="64">
        <f>SUM(B93)</f>
        <v>0</v>
      </c>
      <c r="C94" s="94"/>
      <c r="D94" s="60"/>
      <c r="E94" s="57"/>
      <c r="F94" s="61">
        <f>F93</f>
        <v>43.5</v>
      </c>
      <c r="G94" s="102"/>
      <c r="H94" s="86"/>
      <c r="I94" s="86"/>
      <c r="J94" s="129"/>
    </row>
    <row r="95" spans="1:10" s="125" customFormat="1" ht="53.25" customHeight="1">
      <c r="A95" s="21" t="s">
        <v>60</v>
      </c>
      <c r="B95" s="63">
        <v>1910</v>
      </c>
      <c r="C95" s="40" t="s">
        <v>86</v>
      </c>
      <c r="D95" s="63"/>
      <c r="E95" s="62"/>
      <c r="F95" s="59">
        <v>609</v>
      </c>
      <c r="G95" s="97" t="s">
        <v>110</v>
      </c>
      <c r="H95" s="86"/>
      <c r="I95" s="86"/>
      <c r="J95" s="129"/>
    </row>
    <row r="96" spans="1:10" s="125" customFormat="1" ht="16.5" customHeight="1">
      <c r="A96" s="27" t="s">
        <v>20</v>
      </c>
      <c r="B96" s="64">
        <f>SUM(B95)</f>
        <v>1910</v>
      </c>
      <c r="C96" s="94"/>
      <c r="D96" s="60"/>
      <c r="E96" s="57"/>
      <c r="F96" s="61">
        <f>F95</f>
        <v>609</v>
      </c>
      <c r="G96" s="102"/>
      <c r="H96" s="86"/>
      <c r="I96" s="86"/>
      <c r="J96" s="129"/>
    </row>
    <row r="97" spans="1:10" s="125" customFormat="1" ht="55.5" customHeight="1">
      <c r="A97" s="21" t="s">
        <v>61</v>
      </c>
      <c r="B97" s="63">
        <v>24202.67</v>
      </c>
      <c r="C97" s="40" t="s">
        <v>87</v>
      </c>
      <c r="D97" s="63"/>
      <c r="E97" s="62"/>
      <c r="F97" s="59">
        <v>580</v>
      </c>
      <c r="G97" s="97" t="s">
        <v>110</v>
      </c>
      <c r="H97" s="86"/>
      <c r="I97" s="86"/>
      <c r="J97" s="129"/>
    </row>
    <row r="98" spans="1:10" s="125" customFormat="1" ht="16.5" customHeight="1">
      <c r="A98" s="27" t="s">
        <v>20</v>
      </c>
      <c r="B98" s="64">
        <f>B97</f>
        <v>24202.67</v>
      </c>
      <c r="C98" s="94"/>
      <c r="D98" s="60"/>
      <c r="E98" s="57"/>
      <c r="F98" s="61">
        <f>F97</f>
        <v>580</v>
      </c>
      <c r="G98" s="102"/>
      <c r="H98" s="86"/>
      <c r="I98" s="86"/>
      <c r="J98" s="129"/>
    </row>
    <row r="99" spans="1:10" s="125" customFormat="1" ht="55.5" customHeight="1">
      <c r="A99" s="448" t="s">
        <v>62</v>
      </c>
      <c r="B99" s="64"/>
      <c r="C99" s="94"/>
      <c r="D99" s="140"/>
      <c r="E99" s="57"/>
      <c r="F99" s="61">
        <v>1200</v>
      </c>
      <c r="G99" s="97" t="s">
        <v>109</v>
      </c>
      <c r="H99" s="86"/>
      <c r="I99" s="86"/>
      <c r="J99" s="129"/>
    </row>
    <row r="100" spans="1:10" s="125" customFormat="1" ht="74.25" customHeight="1">
      <c r="A100" s="449"/>
      <c r="B100" s="63">
        <v>33715</v>
      </c>
      <c r="C100" s="40" t="s">
        <v>105</v>
      </c>
      <c r="D100" s="63">
        <v>595000</v>
      </c>
      <c r="E100" s="44" t="s">
        <v>101</v>
      </c>
      <c r="F100" s="59">
        <v>1464.5</v>
      </c>
      <c r="G100" s="97" t="s">
        <v>110</v>
      </c>
      <c r="H100" s="86"/>
      <c r="I100" s="86"/>
      <c r="J100" s="129"/>
    </row>
    <row r="101" spans="1:10" s="125" customFormat="1" ht="16.5" customHeight="1">
      <c r="A101" s="27" t="s">
        <v>20</v>
      </c>
      <c r="B101" s="64">
        <f>SUM(B100)</f>
        <v>33715</v>
      </c>
      <c r="C101" s="94"/>
      <c r="D101" s="64">
        <v>595000</v>
      </c>
      <c r="E101" s="57"/>
      <c r="F101" s="61">
        <f>F100+F99</f>
        <v>2664.5</v>
      </c>
      <c r="G101" s="102"/>
      <c r="H101" s="86"/>
      <c r="I101" s="86"/>
      <c r="J101" s="129"/>
    </row>
    <row r="102" spans="1:10" s="125" customFormat="1" ht="52.5" customHeight="1">
      <c r="A102" s="21" t="s">
        <v>46</v>
      </c>
      <c r="B102" s="63">
        <v>10626</v>
      </c>
      <c r="C102" s="40" t="s">
        <v>88</v>
      </c>
      <c r="D102" s="63"/>
      <c r="E102" s="62"/>
      <c r="F102" s="59">
        <v>797.5</v>
      </c>
      <c r="G102" s="97" t="s">
        <v>110</v>
      </c>
      <c r="H102" s="86"/>
      <c r="I102" s="86"/>
      <c r="J102" s="129"/>
    </row>
    <row r="103" spans="1:10" s="125" customFormat="1" ht="16.5" customHeight="1">
      <c r="A103" s="27" t="s">
        <v>20</v>
      </c>
      <c r="B103" s="64">
        <f>B102</f>
        <v>10626</v>
      </c>
      <c r="C103" s="94"/>
      <c r="D103" s="60"/>
      <c r="E103" s="57"/>
      <c r="F103" s="61">
        <f>F102</f>
        <v>797.5</v>
      </c>
      <c r="G103" s="102"/>
      <c r="H103" s="86"/>
      <c r="I103" s="86"/>
      <c r="J103" s="129"/>
    </row>
    <row r="104" spans="1:10" s="125" customFormat="1" ht="54.75" customHeight="1">
      <c r="A104" s="21" t="s">
        <v>63</v>
      </c>
      <c r="B104" s="63">
        <v>59077.12</v>
      </c>
      <c r="C104" s="40" t="s">
        <v>92</v>
      </c>
      <c r="D104" s="63">
        <v>686945.25</v>
      </c>
      <c r="E104" s="44" t="s">
        <v>101</v>
      </c>
      <c r="F104" s="59">
        <v>826.5</v>
      </c>
      <c r="G104" s="97" t="s">
        <v>110</v>
      </c>
      <c r="H104" s="86"/>
      <c r="I104" s="86"/>
      <c r="J104" s="129"/>
    </row>
    <row r="105" spans="1:10" s="125" customFormat="1" ht="16.5" customHeight="1">
      <c r="A105" s="27" t="s">
        <v>20</v>
      </c>
      <c r="B105" s="64">
        <f>B104</f>
        <v>59077.12</v>
      </c>
      <c r="C105" s="94"/>
      <c r="D105" s="64">
        <v>686945.25</v>
      </c>
      <c r="E105" s="57"/>
      <c r="F105" s="61">
        <f>F104</f>
        <v>826.5</v>
      </c>
      <c r="G105" s="102"/>
      <c r="H105" s="86"/>
      <c r="I105" s="86"/>
      <c r="J105" s="129"/>
    </row>
    <row r="106" spans="1:10" s="125" customFormat="1" ht="59.25" customHeight="1">
      <c r="A106" s="26" t="s">
        <v>111</v>
      </c>
      <c r="B106" s="64"/>
      <c r="C106" s="94"/>
      <c r="D106" s="140"/>
      <c r="E106" s="57"/>
      <c r="F106" s="61"/>
      <c r="G106" s="102"/>
      <c r="H106" s="45">
        <v>28000</v>
      </c>
      <c r="I106" s="97" t="s">
        <v>112</v>
      </c>
      <c r="J106" s="129"/>
    </row>
    <row r="107" spans="1:10" s="125" customFormat="1" ht="16.5" customHeight="1">
      <c r="A107" s="27" t="s">
        <v>20</v>
      </c>
      <c r="B107" s="64"/>
      <c r="C107" s="94"/>
      <c r="D107" s="140"/>
      <c r="E107" s="57"/>
      <c r="F107" s="61"/>
      <c r="G107" s="102"/>
      <c r="H107" s="74">
        <f>H106</f>
        <v>28000</v>
      </c>
      <c r="I107" s="86"/>
      <c r="J107" s="129"/>
    </row>
    <row r="108" spans="1:10" s="125" customFormat="1" ht="43.5" customHeight="1">
      <c r="A108" s="21" t="s">
        <v>53</v>
      </c>
      <c r="B108" s="63"/>
      <c r="C108" s="40"/>
      <c r="D108" s="63"/>
      <c r="E108" s="62"/>
      <c r="F108" s="59"/>
      <c r="G108" s="102"/>
      <c r="H108" s="86"/>
      <c r="I108" s="86"/>
      <c r="J108" s="129"/>
    </row>
    <row r="109" spans="1:10" s="125" customFormat="1" ht="16.5" customHeight="1">
      <c r="A109" s="27" t="s">
        <v>20</v>
      </c>
      <c r="B109" s="64">
        <f>B108</f>
        <v>0</v>
      </c>
      <c r="C109" s="94"/>
      <c r="D109" s="60"/>
      <c r="E109" s="57"/>
      <c r="F109" s="61"/>
      <c r="G109" s="102"/>
      <c r="H109" s="86"/>
      <c r="I109" s="86"/>
      <c r="J109" s="129"/>
    </row>
    <row r="110" spans="1:10" s="125" customFormat="1" ht="19.5" customHeight="1">
      <c r="A110" s="21" t="s">
        <v>54</v>
      </c>
      <c r="B110" s="63">
        <v>1469.62</v>
      </c>
      <c r="C110" s="40" t="s">
        <v>102</v>
      </c>
      <c r="D110" s="63"/>
      <c r="E110" s="62"/>
      <c r="F110" s="59"/>
      <c r="G110" s="103"/>
      <c r="H110" s="86"/>
      <c r="I110" s="86"/>
      <c r="J110" s="129"/>
    </row>
    <row r="111" spans="1:10" s="125" customFormat="1" ht="16.5" customHeight="1">
      <c r="A111" s="27" t="s">
        <v>20</v>
      </c>
      <c r="B111" s="64">
        <f>B110</f>
        <v>1469.62</v>
      </c>
      <c r="C111" s="94"/>
      <c r="D111" s="60"/>
      <c r="E111" s="57"/>
      <c r="F111" s="61"/>
      <c r="G111" s="102"/>
      <c r="H111" s="86"/>
      <c r="I111" s="86"/>
      <c r="J111" s="129"/>
    </row>
    <row r="112" spans="1:10" s="125" customFormat="1" ht="33.75" customHeight="1">
      <c r="A112" s="21" t="s">
        <v>103</v>
      </c>
      <c r="B112" s="63">
        <v>2435</v>
      </c>
      <c r="C112" s="40" t="s">
        <v>104</v>
      </c>
      <c r="D112" s="63"/>
      <c r="E112" s="62"/>
      <c r="F112" s="59"/>
      <c r="G112" s="103"/>
      <c r="H112" s="86"/>
      <c r="I112" s="86"/>
      <c r="J112" s="129"/>
    </row>
    <row r="113" spans="1:10" s="125" customFormat="1" ht="16.5" customHeight="1">
      <c r="A113" s="27" t="s">
        <v>20</v>
      </c>
      <c r="B113" s="64">
        <f>B112</f>
        <v>2435</v>
      </c>
      <c r="C113" s="94"/>
      <c r="D113" s="60"/>
      <c r="E113" s="57"/>
      <c r="F113" s="61"/>
      <c r="G113" s="102"/>
      <c r="H113" s="86"/>
      <c r="I113" s="86"/>
      <c r="J113" s="129"/>
    </row>
    <row r="114" spans="1:10" s="125" customFormat="1" ht="19.5" customHeight="1">
      <c r="A114" s="21" t="s">
        <v>67</v>
      </c>
      <c r="B114" s="63"/>
      <c r="C114" s="40"/>
      <c r="D114" s="63"/>
      <c r="E114" s="62"/>
      <c r="F114" s="59"/>
      <c r="G114" s="103"/>
      <c r="H114" s="86"/>
      <c r="I114" s="86"/>
      <c r="J114" s="129"/>
    </row>
    <row r="115" spans="1:10" s="125" customFormat="1" ht="16.5" customHeight="1">
      <c r="A115" s="27" t="s">
        <v>20</v>
      </c>
      <c r="B115" s="64">
        <f>SUM(B114)</f>
        <v>0</v>
      </c>
      <c r="C115" s="94"/>
      <c r="D115" s="60"/>
      <c r="E115" s="57"/>
      <c r="F115" s="61"/>
      <c r="G115" s="102"/>
      <c r="H115" s="86"/>
      <c r="I115" s="86"/>
      <c r="J115" s="129"/>
    </row>
    <row r="116" spans="1:10" s="125" customFormat="1" ht="19.5" customHeight="1">
      <c r="A116" s="21" t="s">
        <v>64</v>
      </c>
      <c r="B116" s="63">
        <v>1003.8</v>
      </c>
      <c r="C116" s="40" t="s">
        <v>129</v>
      </c>
      <c r="D116" s="63"/>
      <c r="E116" s="62"/>
      <c r="F116" s="59"/>
      <c r="G116" s="103"/>
      <c r="H116" s="86"/>
      <c r="I116" s="86"/>
      <c r="J116" s="129"/>
    </row>
    <row r="117" spans="1:10" s="125" customFormat="1" ht="16.5" customHeight="1">
      <c r="A117" s="27" t="s">
        <v>20</v>
      </c>
      <c r="B117" s="64">
        <f>B116</f>
        <v>1003.8</v>
      </c>
      <c r="C117" s="94"/>
      <c r="D117" s="60"/>
      <c r="E117" s="57"/>
      <c r="F117" s="61"/>
      <c r="G117" s="102"/>
      <c r="H117" s="86"/>
      <c r="I117" s="86"/>
      <c r="J117" s="129"/>
    </row>
    <row r="118" spans="1:10" s="125" customFormat="1" ht="25.5" customHeight="1" thickBot="1">
      <c r="A118" s="27" t="s">
        <v>20</v>
      </c>
      <c r="B118" s="28"/>
      <c r="C118" s="94"/>
      <c r="D118" s="63"/>
      <c r="E118" s="57"/>
      <c r="F118" s="61"/>
      <c r="G118" s="102"/>
      <c r="H118" s="86"/>
      <c r="I118" s="86"/>
      <c r="J118" s="129"/>
    </row>
    <row r="119" spans="1:9" s="130" customFormat="1" ht="77.25" customHeight="1" thickBot="1">
      <c r="A119" s="67" t="s">
        <v>70</v>
      </c>
      <c r="B119" s="68">
        <f>SUM(B52+B54+B56+B58+B60+B62+B64+B76+B78+B80+B82+B85+B87+B90+B92+B94+B96+B98+B101+B103+B105+B109+B111+B113+B115+B117+B118)</f>
        <v>479477.99</v>
      </c>
      <c r="C119" s="68"/>
      <c r="D119" s="68">
        <f>D85+D87+D101+D82+D118+D105</f>
        <v>1498630.85</v>
      </c>
      <c r="E119" s="68"/>
      <c r="F119" s="68">
        <f>F54+F58+F60+F62+F64+F76+F78+F85+F87+F90+F92+F94+F96+F98+F101+F103+F105+F118+F56+F82+F80</f>
        <v>43227.2</v>
      </c>
      <c r="G119" s="104"/>
      <c r="H119" s="68">
        <f>H107</f>
        <v>28000</v>
      </c>
      <c r="I119" s="68"/>
    </row>
    <row r="120" spans="1:9" s="130" customFormat="1" ht="93.75" customHeight="1" thickBot="1">
      <c r="A120" s="69" t="s">
        <v>69</v>
      </c>
      <c r="B120" s="70">
        <f>SUM(B50+B119)</f>
        <v>980677.6699999999</v>
      </c>
      <c r="C120" s="70"/>
      <c r="D120" s="70">
        <f>D119+D50</f>
        <v>1498630.85</v>
      </c>
      <c r="E120" s="70"/>
      <c r="F120" s="70">
        <f>F50+F119</f>
        <v>52584.2</v>
      </c>
      <c r="G120" s="105"/>
      <c r="H120" s="70">
        <f>H50+H119</f>
        <v>28000</v>
      </c>
      <c r="I120" s="70"/>
    </row>
    <row r="121" spans="1:10" s="8" customFormat="1" ht="24" customHeight="1">
      <c r="A121" s="108" t="s">
        <v>130</v>
      </c>
      <c r="B121" s="108"/>
      <c r="C121" s="108"/>
      <c r="D121" s="88"/>
      <c r="E121" s="89"/>
      <c r="F121" s="88"/>
      <c r="G121" s="88"/>
      <c r="H121" s="71"/>
      <c r="I121" s="71"/>
      <c r="J121" s="7"/>
    </row>
    <row r="122" spans="1:10" s="8" customFormat="1" ht="24" customHeight="1">
      <c r="A122" s="89" t="s">
        <v>131</v>
      </c>
      <c r="B122" s="89"/>
      <c r="C122" s="89"/>
      <c r="D122" s="88"/>
      <c r="E122" s="89"/>
      <c r="F122" s="88"/>
      <c r="G122" s="89" t="s">
        <v>71</v>
      </c>
      <c r="H122" s="71"/>
      <c r="I122" s="71"/>
      <c r="J122" s="7"/>
    </row>
    <row r="123" spans="1:10" ht="15.75" customHeight="1">
      <c r="A123" s="90"/>
      <c r="B123" s="90"/>
      <c r="C123" s="91"/>
      <c r="D123" s="92"/>
      <c r="E123" s="93"/>
      <c r="F123" s="90"/>
      <c r="G123" s="90"/>
      <c r="H123" s="73"/>
      <c r="I123" s="73"/>
      <c r="J123" s="2"/>
    </row>
    <row r="124" spans="1:10" ht="11.25" customHeight="1">
      <c r="A124" s="90"/>
      <c r="B124" s="90"/>
      <c r="C124" s="91"/>
      <c r="D124" s="92"/>
      <c r="E124" s="93"/>
      <c r="F124" s="90"/>
      <c r="G124" s="90"/>
      <c r="H124" s="73"/>
      <c r="I124" s="73"/>
      <c r="J124" s="2"/>
    </row>
    <row r="125" spans="1:10" ht="20.25" customHeight="1">
      <c r="A125" s="90" t="s">
        <v>35</v>
      </c>
      <c r="B125" s="90"/>
      <c r="C125" s="91"/>
      <c r="D125" s="92"/>
      <c r="E125" s="93"/>
      <c r="F125" s="90"/>
      <c r="G125" s="90" t="s">
        <v>106</v>
      </c>
      <c r="H125" s="73"/>
      <c r="I125" s="73"/>
      <c r="J125" s="2"/>
    </row>
    <row r="126" spans="1:10" ht="20.25" customHeight="1">
      <c r="A126" s="90"/>
      <c r="B126" s="90"/>
      <c r="C126" s="91"/>
      <c r="D126" s="92"/>
      <c r="E126" s="93"/>
      <c r="F126" s="90"/>
      <c r="G126" s="90"/>
      <c r="H126" s="73"/>
      <c r="I126" s="73"/>
      <c r="J126" s="2"/>
    </row>
    <row r="127" spans="1:10" ht="13.5" customHeight="1">
      <c r="A127" s="91" t="s">
        <v>113</v>
      </c>
      <c r="B127" s="92"/>
      <c r="C127" s="91"/>
      <c r="D127" s="92"/>
      <c r="E127" s="90"/>
      <c r="F127" s="92"/>
      <c r="G127" s="92"/>
      <c r="H127" s="73"/>
      <c r="I127" s="73"/>
      <c r="J127" s="2"/>
    </row>
    <row r="128" spans="1:10" ht="13.5" customHeight="1">
      <c r="A128" s="91" t="s">
        <v>65</v>
      </c>
      <c r="B128" s="92"/>
      <c r="C128" s="91"/>
      <c r="D128" s="92"/>
      <c r="E128" s="90"/>
      <c r="F128" s="92"/>
      <c r="G128" s="92"/>
      <c r="H128" s="73"/>
      <c r="I128" s="73"/>
      <c r="J128" s="2"/>
    </row>
    <row r="129" spans="1:10" ht="14.25" customHeight="1">
      <c r="A129" s="91"/>
      <c r="B129" s="92"/>
      <c r="C129" s="91"/>
      <c r="D129" s="92"/>
      <c r="E129" s="90"/>
      <c r="F129" s="92"/>
      <c r="G129" s="92"/>
      <c r="H129" s="73"/>
      <c r="I129" s="73"/>
      <c r="J129" s="2"/>
    </row>
    <row r="130" spans="1:10" ht="20.25" customHeight="1">
      <c r="A130" s="91" t="s">
        <v>25</v>
      </c>
      <c r="B130" s="92"/>
      <c r="C130" s="91"/>
      <c r="D130" s="92"/>
      <c r="E130" s="90"/>
      <c r="F130" s="92"/>
      <c r="G130" s="92"/>
      <c r="H130" s="73"/>
      <c r="I130" s="73"/>
      <c r="J130" s="2"/>
    </row>
    <row r="131" spans="1:10" ht="20.25" customHeight="1">
      <c r="A131" s="91" t="s">
        <v>107</v>
      </c>
      <c r="B131" s="92"/>
      <c r="C131" s="91"/>
      <c r="D131" s="92"/>
      <c r="E131" s="90"/>
      <c r="F131" s="92"/>
      <c r="G131" s="92"/>
      <c r="H131" s="73"/>
      <c r="I131" s="73"/>
      <c r="J131" s="2"/>
    </row>
    <row r="132" spans="1:10" ht="12" customHeight="1">
      <c r="A132" s="2"/>
      <c r="B132" s="2"/>
      <c r="C132" s="6"/>
      <c r="D132" s="2"/>
      <c r="E132" s="2"/>
      <c r="F132" s="2"/>
      <c r="G132" s="2"/>
      <c r="H132" s="2"/>
      <c r="I132" s="2"/>
      <c r="J132" s="2"/>
    </row>
    <row r="133" spans="1:10" ht="15">
      <c r="A133" s="2"/>
      <c r="B133" s="2"/>
      <c r="C133" s="6"/>
      <c r="D133" s="2"/>
      <c r="E133" s="2"/>
      <c r="F133" s="2"/>
      <c r="G133" s="2"/>
      <c r="H133" s="2"/>
      <c r="I133" s="2"/>
      <c r="J133" s="2"/>
    </row>
    <row r="134" spans="1:9" ht="15">
      <c r="A134" s="3"/>
      <c r="B134" s="2"/>
      <c r="C134" s="6"/>
      <c r="D134" s="2"/>
      <c r="E134" s="2"/>
      <c r="F134" s="2"/>
      <c r="G134" s="2"/>
      <c r="H134" s="2"/>
      <c r="I134" s="2"/>
    </row>
  </sheetData>
  <sheetProtection/>
  <mergeCells count="51">
    <mergeCell ref="E23:E24"/>
    <mergeCell ref="A6:I6"/>
    <mergeCell ref="A7:I7"/>
    <mergeCell ref="F23:F24"/>
    <mergeCell ref="G23:G24"/>
    <mergeCell ref="H23:H24"/>
    <mergeCell ref="I23:I24"/>
    <mergeCell ref="A8:A11"/>
    <mergeCell ref="B8:E8"/>
    <mergeCell ref="F8:I8"/>
    <mergeCell ref="B9:C10"/>
    <mergeCell ref="G1:I1"/>
    <mergeCell ref="G3:I3"/>
    <mergeCell ref="G4:I4"/>
    <mergeCell ref="A5:I5"/>
    <mergeCell ref="H2:I2"/>
    <mergeCell ref="D9:E10"/>
    <mergeCell ref="F9:G10"/>
    <mergeCell ref="H9:I10"/>
    <mergeCell ref="C28:C30"/>
    <mergeCell ref="D23:D24"/>
    <mergeCell ref="A31:A32"/>
    <mergeCell ref="B31:B32"/>
    <mergeCell ref="A12:A13"/>
    <mergeCell ref="B12:B13"/>
    <mergeCell ref="A28:A29"/>
    <mergeCell ref="B28:B29"/>
    <mergeCell ref="B23:B24"/>
    <mergeCell ref="A23:A24"/>
    <mergeCell ref="C15:C16"/>
    <mergeCell ref="C17:C18"/>
    <mergeCell ref="C21:C22"/>
    <mergeCell ref="C26:C27"/>
    <mergeCell ref="C19:C20"/>
    <mergeCell ref="C12:C14"/>
    <mergeCell ref="C44:C45"/>
    <mergeCell ref="C46:C47"/>
    <mergeCell ref="C32:C33"/>
    <mergeCell ref="C34:C35"/>
    <mergeCell ref="C36:C37"/>
    <mergeCell ref="C38:C39"/>
    <mergeCell ref="A88:A89"/>
    <mergeCell ref="A83:A84"/>
    <mergeCell ref="A99:A100"/>
    <mergeCell ref="C63:C64"/>
    <mergeCell ref="C48:C49"/>
    <mergeCell ref="C23:C25"/>
    <mergeCell ref="C51:C52"/>
    <mergeCell ref="C53:C54"/>
    <mergeCell ref="C40:C41"/>
    <mergeCell ref="C42:C43"/>
  </mergeCells>
  <printOptions/>
  <pageMargins left="0.7874015748031497" right="0.3937007874015748" top="0.3937007874015748" bottom="0.3937007874015748" header="0.31496062992125984" footer="0.31496062992125984"/>
  <pageSetup horizontalDpi="180" verticalDpi="180" orientation="portrait" paperSize="9" scale="42" r:id="rId1"/>
  <rowBreaks count="2" manualBreakCount="2">
    <brk id="85" max="7" man="1"/>
    <brk id="169" max="8" man="1"/>
  </rowBreaks>
</worksheet>
</file>

<file path=xl/worksheets/sheet18.xml><?xml version="1.0" encoding="utf-8"?>
<worksheet xmlns="http://schemas.openxmlformats.org/spreadsheetml/2006/main" xmlns:r="http://schemas.openxmlformats.org/officeDocument/2006/relationships">
  <dimension ref="A1:DJ138"/>
  <sheetViews>
    <sheetView zoomScale="66" zoomScaleNormal="66" zoomScalePageLayoutView="0" workbookViewId="0" topLeftCell="A86">
      <selection activeCell="A86" sqref="A1:IV16384"/>
    </sheetView>
  </sheetViews>
  <sheetFormatPr defaultColWidth="25.7109375" defaultRowHeight="15"/>
  <cols>
    <col min="1" max="1" width="16.8515625" style="1" customWidth="1"/>
    <col min="2" max="2" width="19.7109375" style="1" customWidth="1"/>
    <col min="3" max="3" width="32.57421875" style="5" customWidth="1"/>
    <col min="4" max="4" width="18.28125" style="1" customWidth="1"/>
    <col min="5" max="5" width="25.7109375" style="1" customWidth="1"/>
    <col min="6" max="6" width="12.00390625" style="1" customWidth="1"/>
    <col min="7" max="7" width="17.8515625" style="1" customWidth="1"/>
    <col min="8" max="8" width="15.421875" style="1" customWidth="1"/>
    <col min="9" max="9" width="21.7109375" style="1" customWidth="1"/>
    <col min="10" max="114" width="25.7109375" style="2" customWidth="1"/>
    <col min="115" max="16384" width="25.710937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305</v>
      </c>
      <c r="B6" s="364"/>
      <c r="C6" s="364"/>
      <c r="D6" s="364"/>
      <c r="E6" s="364"/>
      <c r="F6" s="364"/>
      <c r="G6" s="364"/>
      <c r="H6" s="364"/>
      <c r="I6" s="364"/>
    </row>
    <row r="7" spans="1:114" s="4" customFormat="1" ht="26.25" customHeight="1">
      <c r="A7" s="364" t="s">
        <v>27</v>
      </c>
      <c r="B7" s="364"/>
      <c r="C7" s="364"/>
      <c r="D7" s="364"/>
      <c r="E7" s="364"/>
      <c r="F7" s="364"/>
      <c r="G7" s="364"/>
      <c r="H7" s="364"/>
      <c r="I7" s="364"/>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row>
    <row r="8" spans="1:114" s="10" customFormat="1" ht="19.5" customHeight="1">
      <c r="A8" s="420" t="s">
        <v>28</v>
      </c>
      <c r="B8" s="420" t="s">
        <v>0</v>
      </c>
      <c r="C8" s="420"/>
      <c r="D8" s="420"/>
      <c r="E8" s="420"/>
      <c r="F8" s="420" t="s">
        <v>1</v>
      </c>
      <c r="G8" s="420"/>
      <c r="H8" s="420"/>
      <c r="I8" s="420"/>
      <c r="J8" s="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0" customFormat="1" ht="13.5" customHeight="1">
      <c r="A9" s="420"/>
      <c r="B9" s="420" t="s">
        <v>2</v>
      </c>
      <c r="C9" s="420"/>
      <c r="D9" s="420" t="s">
        <v>23</v>
      </c>
      <c r="E9" s="420"/>
      <c r="F9" s="420" t="s">
        <v>2</v>
      </c>
      <c r="G9" s="420"/>
      <c r="H9" s="420" t="s">
        <v>3</v>
      </c>
      <c r="I9" s="421"/>
      <c r="J9" s="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0" customFormat="1" ht="26.25" customHeight="1">
      <c r="A10" s="420"/>
      <c r="B10" s="420"/>
      <c r="C10" s="420"/>
      <c r="D10" s="420"/>
      <c r="E10" s="420"/>
      <c r="F10" s="420"/>
      <c r="G10" s="420"/>
      <c r="H10" s="421"/>
      <c r="I10" s="421"/>
      <c r="J10" s="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0" customFormat="1" ht="57" customHeight="1">
      <c r="A11" s="420"/>
      <c r="B11" s="19" t="s">
        <v>22</v>
      </c>
      <c r="C11" s="20" t="s">
        <v>4</v>
      </c>
      <c r="D11" s="19" t="s">
        <v>22</v>
      </c>
      <c r="E11" s="207" t="s">
        <v>5</v>
      </c>
      <c r="F11" s="19" t="s">
        <v>22</v>
      </c>
      <c r="G11" s="19" t="s">
        <v>4</v>
      </c>
      <c r="H11" s="19" t="s">
        <v>22</v>
      </c>
      <c r="I11" s="19" t="s">
        <v>6</v>
      </c>
      <c r="J11" s="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0" customFormat="1" ht="39" customHeight="1">
      <c r="A12" s="422" t="s">
        <v>24</v>
      </c>
      <c r="B12" s="423">
        <f>518.5+524</f>
        <v>1042.5</v>
      </c>
      <c r="C12" s="424" t="s">
        <v>277</v>
      </c>
      <c r="D12" s="23"/>
      <c r="E12" s="188"/>
      <c r="F12" s="25"/>
      <c r="G12" s="97"/>
      <c r="H12" s="26"/>
      <c r="I12" s="26"/>
      <c r="J12" s="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0" customFormat="1" ht="27" customHeight="1">
      <c r="A13" s="422"/>
      <c r="B13" s="423"/>
      <c r="C13" s="424"/>
      <c r="D13" s="23"/>
      <c r="E13" s="189"/>
      <c r="F13" s="25"/>
      <c r="G13" s="97"/>
      <c r="H13" s="26"/>
      <c r="I13" s="26"/>
      <c r="J13" s="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3" customFormat="1" ht="20.25" customHeight="1">
      <c r="A14" s="27" t="s">
        <v>19</v>
      </c>
      <c r="B14" s="48">
        <f>SUM(B12:B13)</f>
        <v>1042.5</v>
      </c>
      <c r="C14" s="94"/>
      <c r="D14" s="29"/>
      <c r="E14" s="190"/>
      <c r="F14" s="31"/>
      <c r="G14" s="98"/>
      <c r="H14" s="27"/>
      <c r="I14" s="27"/>
      <c r="J14" s="11"/>
      <c r="K14" s="183"/>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10" customFormat="1" ht="50.25" customHeight="1">
      <c r="A15" s="44" t="s">
        <v>7</v>
      </c>
      <c r="B15" s="179">
        <f>190.5+398.7+681.2</f>
        <v>1270.4</v>
      </c>
      <c r="C15" s="40" t="s">
        <v>278</v>
      </c>
      <c r="D15" s="23"/>
      <c r="E15" s="119"/>
      <c r="F15" s="25"/>
      <c r="G15" s="97"/>
      <c r="H15" s="26"/>
      <c r="I15" s="26"/>
      <c r="J15" s="9"/>
      <c r="K15" s="18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3" customFormat="1" ht="22.5" customHeight="1">
      <c r="A16" s="27" t="s">
        <v>19</v>
      </c>
      <c r="B16" s="48">
        <f>SUM(B15)</f>
        <v>1270.4</v>
      </c>
      <c r="C16" s="40"/>
      <c r="D16" s="191"/>
      <c r="E16" s="190"/>
      <c r="F16" s="31"/>
      <c r="G16" s="98"/>
      <c r="H16" s="27"/>
      <c r="I16" s="27"/>
      <c r="J16" s="11"/>
      <c r="K16" s="18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s="13" customFormat="1" ht="96.75" customHeight="1">
      <c r="A17" s="44" t="s">
        <v>32</v>
      </c>
      <c r="B17" s="179">
        <f>782.4+7116+4805</f>
        <v>12703.4</v>
      </c>
      <c r="C17" s="40" t="s">
        <v>293</v>
      </c>
      <c r="D17" s="21"/>
      <c r="E17" s="119"/>
      <c r="F17" s="36"/>
      <c r="G17" s="97"/>
      <c r="H17" s="27"/>
      <c r="I17" s="27"/>
      <c r="J17" s="11"/>
      <c r="K17" s="183"/>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s="13" customFormat="1" ht="25.5" customHeight="1">
      <c r="A18" s="27" t="s">
        <v>19</v>
      </c>
      <c r="B18" s="48">
        <f>SUM(B17)</f>
        <v>12703.4</v>
      </c>
      <c r="C18" s="40"/>
      <c r="D18" s="29"/>
      <c r="E18" s="190"/>
      <c r="F18" s="37">
        <f>F17</f>
        <v>0</v>
      </c>
      <c r="G18" s="98"/>
      <c r="H18" s="27"/>
      <c r="I18" s="27"/>
      <c r="J18" s="11"/>
      <c r="K18" s="18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s="10" customFormat="1" ht="42" customHeight="1">
      <c r="A19" s="44" t="s">
        <v>55</v>
      </c>
      <c r="B19" s="179"/>
      <c r="C19" s="40"/>
      <c r="D19" s="192"/>
      <c r="E19" s="39"/>
      <c r="F19" s="25"/>
      <c r="G19" s="97"/>
      <c r="H19" s="26"/>
      <c r="I19" s="26"/>
      <c r="J19" s="9"/>
      <c r="K19" s="18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13" customFormat="1" ht="28.5" customHeight="1">
      <c r="A20" s="27" t="s">
        <v>20</v>
      </c>
      <c r="B20" s="48">
        <f>B19</f>
        <v>0</v>
      </c>
      <c r="C20" s="94"/>
      <c r="D20" s="23"/>
      <c r="E20" s="119"/>
      <c r="F20" s="31"/>
      <c r="G20" s="98"/>
      <c r="H20" s="27"/>
      <c r="I20" s="27"/>
      <c r="J20" s="11"/>
      <c r="K20" s="183"/>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s="10" customFormat="1" ht="45" customHeight="1">
      <c r="A21" s="44" t="s">
        <v>8</v>
      </c>
      <c r="B21" s="179">
        <f>427.5+220+816</f>
        <v>1463.5</v>
      </c>
      <c r="C21" s="40" t="s">
        <v>242</v>
      </c>
      <c r="D21" s="192"/>
      <c r="E21" s="39"/>
      <c r="F21" s="25"/>
      <c r="G21" s="97"/>
      <c r="H21" s="41"/>
      <c r="I21" s="97"/>
      <c r="J21" s="9"/>
      <c r="K21" s="18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13" customFormat="1" ht="22.5" customHeight="1">
      <c r="A22" s="27" t="s">
        <v>20</v>
      </c>
      <c r="B22" s="48">
        <f>B21</f>
        <v>1463.5</v>
      </c>
      <c r="C22" s="40"/>
      <c r="D22" s="23"/>
      <c r="E22" s="119"/>
      <c r="F22" s="31"/>
      <c r="G22" s="98"/>
      <c r="H22" s="193"/>
      <c r="I22" s="27"/>
      <c r="J22" s="11"/>
      <c r="K22" s="183"/>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s="13" customFormat="1" ht="20.25" customHeight="1">
      <c r="A23" s="422" t="s">
        <v>9</v>
      </c>
      <c r="B23" s="425">
        <f>460+440+450</f>
        <v>1350</v>
      </c>
      <c r="C23" s="424" t="s">
        <v>242</v>
      </c>
      <c r="D23" s="428"/>
      <c r="E23" s="429"/>
      <c r="F23" s="430"/>
      <c r="G23" s="427"/>
      <c r="H23" s="426"/>
      <c r="I23" s="426"/>
      <c r="J23" s="11"/>
      <c r="K23" s="183"/>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s="13" customFormat="1" ht="31.5" customHeight="1">
      <c r="A24" s="422"/>
      <c r="B24" s="425"/>
      <c r="C24" s="424"/>
      <c r="D24" s="428"/>
      <c r="E24" s="429"/>
      <c r="F24" s="430"/>
      <c r="G24" s="427"/>
      <c r="H24" s="426"/>
      <c r="I24" s="426"/>
      <c r="J24" s="11"/>
      <c r="K24" s="183"/>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13" customFormat="1" ht="22.5" customHeight="1">
      <c r="A25" s="27" t="s">
        <v>20</v>
      </c>
      <c r="B25" s="48">
        <f>SUM(B23:B24)</f>
        <v>1350</v>
      </c>
      <c r="C25" s="173"/>
      <c r="D25" s="23"/>
      <c r="E25" s="119"/>
      <c r="F25" s="74"/>
      <c r="G25" s="98"/>
      <c r="H25" s="60"/>
      <c r="I25" s="60"/>
      <c r="J25" s="11"/>
      <c r="K25" s="183"/>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s="10" customFormat="1" ht="38.25" customHeight="1">
      <c r="A26" s="44" t="s">
        <v>10</v>
      </c>
      <c r="B26" s="179"/>
      <c r="C26" s="173"/>
      <c r="D26" s="23"/>
      <c r="E26" s="119"/>
      <c r="F26" s="59"/>
      <c r="G26" s="97"/>
      <c r="H26" s="19"/>
      <c r="I26" s="19"/>
      <c r="J26" s="9"/>
      <c r="K26" s="18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13" customFormat="1" ht="16.5" customHeight="1">
      <c r="A27" s="27" t="s">
        <v>20</v>
      </c>
      <c r="B27" s="48">
        <f>SUM(B26)</f>
        <v>0</v>
      </c>
      <c r="C27" s="173"/>
      <c r="D27" s="23"/>
      <c r="E27" s="119"/>
      <c r="F27" s="57"/>
      <c r="G27" s="98"/>
      <c r="H27" s="60"/>
      <c r="I27" s="60"/>
      <c r="J27" s="11"/>
      <c r="K27" s="183"/>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s="10" customFormat="1" ht="24.75" customHeight="1">
      <c r="A28" s="422" t="s">
        <v>11</v>
      </c>
      <c r="B28" s="423">
        <f>149.5+14120+143+273+4520</f>
        <v>19205.5</v>
      </c>
      <c r="C28" s="424" t="s">
        <v>306</v>
      </c>
      <c r="D28" s="23"/>
      <c r="E28" s="119"/>
      <c r="F28" s="75"/>
      <c r="G28" s="97"/>
      <c r="H28" s="19"/>
      <c r="I28" s="19"/>
      <c r="J28" s="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10" customFormat="1" ht="150.75" customHeight="1">
      <c r="A29" s="422"/>
      <c r="B29" s="423"/>
      <c r="C29" s="424"/>
      <c r="D29" s="23"/>
      <c r="E29" s="119"/>
      <c r="F29" s="75"/>
      <c r="G29" s="97"/>
      <c r="H29" s="19"/>
      <c r="I29" s="19"/>
      <c r="J29" s="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13" customFormat="1" ht="21.75" customHeight="1">
      <c r="A30" s="27" t="s">
        <v>20</v>
      </c>
      <c r="B30" s="48">
        <f>SUM(B28:B29)</f>
        <v>19205.5</v>
      </c>
      <c r="C30" s="94"/>
      <c r="D30" s="19"/>
      <c r="E30" s="43"/>
      <c r="F30" s="74"/>
      <c r="G30" s="98"/>
      <c r="H30" s="60"/>
      <c r="I30" s="60"/>
      <c r="J30" s="11"/>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s="10" customFormat="1" ht="15.75" customHeight="1">
      <c r="A31" s="422" t="s">
        <v>49</v>
      </c>
      <c r="B31" s="423">
        <f>5880+613+150.2+710</f>
        <v>7353.2</v>
      </c>
      <c r="C31" s="431" t="s">
        <v>307</v>
      </c>
      <c r="D31" s="23"/>
      <c r="E31" s="119"/>
      <c r="F31" s="75"/>
      <c r="G31" s="97"/>
      <c r="H31" s="19"/>
      <c r="I31" s="19"/>
      <c r="J31" s="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10" customFormat="1" ht="125.25" customHeight="1">
      <c r="A32" s="422"/>
      <c r="B32" s="423"/>
      <c r="C32" s="432"/>
      <c r="D32" s="23"/>
      <c r="E32" s="119"/>
      <c r="F32" s="75"/>
      <c r="G32" s="97"/>
      <c r="H32" s="19"/>
      <c r="I32" s="19"/>
      <c r="J32" s="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13" customFormat="1" ht="24.75" customHeight="1">
      <c r="A33" s="27" t="s">
        <v>20</v>
      </c>
      <c r="B33" s="48">
        <f>SUM(B31:B32)</f>
        <v>7353.2</v>
      </c>
      <c r="C33" s="433"/>
      <c r="D33" s="19"/>
      <c r="E33" s="43"/>
      <c r="F33" s="74"/>
      <c r="G33" s="98"/>
      <c r="H33" s="60"/>
      <c r="I33" s="60"/>
      <c r="J33" s="11"/>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s="10" customFormat="1" ht="235.5" customHeight="1">
      <c r="A34" s="44" t="s">
        <v>12</v>
      </c>
      <c r="B34" s="179">
        <f>272+19520+272+272</f>
        <v>20336</v>
      </c>
      <c r="C34" s="40" t="s">
        <v>295</v>
      </c>
      <c r="D34" s="19"/>
      <c r="E34" s="43"/>
      <c r="F34" s="59"/>
      <c r="G34" s="97"/>
      <c r="H34" s="19"/>
      <c r="I34" s="19"/>
      <c r="J34" s="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13" customFormat="1" ht="23.25" customHeight="1">
      <c r="A35" s="27" t="s">
        <v>20</v>
      </c>
      <c r="B35" s="48">
        <f>SUM(B34)</f>
        <v>20336</v>
      </c>
      <c r="C35" s="40"/>
      <c r="D35" s="44"/>
      <c r="E35" s="45"/>
      <c r="F35" s="74"/>
      <c r="G35" s="98"/>
      <c r="H35" s="60"/>
      <c r="I35" s="60"/>
      <c r="J35" s="11"/>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s="10" customFormat="1" ht="42.75" customHeight="1">
      <c r="A36" s="44" t="s">
        <v>21</v>
      </c>
      <c r="B36" s="179">
        <f>360+294+306</f>
        <v>960</v>
      </c>
      <c r="C36" s="431" t="s">
        <v>77</v>
      </c>
      <c r="D36" s="44"/>
      <c r="E36" s="43"/>
      <c r="F36" s="59"/>
      <c r="G36" s="97"/>
      <c r="H36" s="19"/>
      <c r="I36" s="19"/>
      <c r="J36" s="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13" customFormat="1" ht="24.75" customHeight="1">
      <c r="A37" s="27" t="s">
        <v>20</v>
      </c>
      <c r="B37" s="48">
        <f>SUM(B36:B36)</f>
        <v>960</v>
      </c>
      <c r="C37" s="433"/>
      <c r="D37" s="19"/>
      <c r="E37" s="43"/>
      <c r="F37" s="74"/>
      <c r="G37" s="98"/>
      <c r="H37" s="60"/>
      <c r="I37" s="60"/>
      <c r="J37" s="11"/>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s="10" customFormat="1" ht="383.25" customHeight="1">
      <c r="A38" s="44" t="s">
        <v>13</v>
      </c>
      <c r="B38" s="179">
        <f>670+746+2970+980+718</f>
        <v>6084</v>
      </c>
      <c r="C38" s="40" t="s">
        <v>296</v>
      </c>
      <c r="D38" s="44"/>
      <c r="E38" s="43"/>
      <c r="F38" s="43"/>
      <c r="G38" s="97"/>
      <c r="H38" s="19"/>
      <c r="I38" s="19"/>
      <c r="J38" s="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row>
    <row r="39" spans="1:114" s="13" customFormat="1" ht="22.5" customHeight="1">
      <c r="A39" s="27" t="s">
        <v>20</v>
      </c>
      <c r="B39" s="48">
        <f>SUM(B38)</f>
        <v>6084</v>
      </c>
      <c r="C39" s="40"/>
      <c r="D39" s="44"/>
      <c r="E39" s="43"/>
      <c r="F39" s="74"/>
      <c r="G39" s="98"/>
      <c r="H39" s="60"/>
      <c r="I39" s="60"/>
      <c r="J39" s="11"/>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10" customFormat="1" ht="48.75" customHeight="1">
      <c r="A40" s="44" t="s">
        <v>14</v>
      </c>
      <c r="B40" s="179"/>
      <c r="C40" s="173"/>
      <c r="D40" s="44"/>
      <c r="E40" s="43"/>
      <c r="F40" s="43"/>
      <c r="G40" s="97"/>
      <c r="H40" s="19"/>
      <c r="I40" s="19"/>
      <c r="J40" s="9"/>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row>
    <row r="41" spans="1:114" s="13" customFormat="1" ht="19.5" customHeight="1">
      <c r="A41" s="27" t="s">
        <v>20</v>
      </c>
      <c r="B41" s="48">
        <f>SUM(B40:B40)</f>
        <v>0</v>
      </c>
      <c r="C41" s="173"/>
      <c r="D41" s="44"/>
      <c r="E41" s="43"/>
      <c r="F41" s="74">
        <f>F40</f>
        <v>0</v>
      </c>
      <c r="G41" s="98"/>
      <c r="H41" s="60"/>
      <c r="I41" s="60"/>
      <c r="J41" s="11"/>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s="10" customFormat="1" ht="47.25" customHeight="1">
      <c r="A42" s="44" t="s">
        <v>15</v>
      </c>
      <c r="B42" s="179">
        <f>664+664+2680+664</f>
        <v>4672</v>
      </c>
      <c r="C42" s="40" t="s">
        <v>297</v>
      </c>
      <c r="D42" s="44"/>
      <c r="E42" s="45"/>
      <c r="F42" s="43"/>
      <c r="G42" s="97"/>
      <c r="H42" s="19"/>
      <c r="I42" s="19"/>
      <c r="J42" s="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row>
    <row r="43" spans="1:114" s="13" customFormat="1" ht="21.75" customHeight="1">
      <c r="A43" s="27" t="s">
        <v>20</v>
      </c>
      <c r="B43" s="48">
        <f>SUM(B42:B42)</f>
        <v>4672</v>
      </c>
      <c r="C43" s="40"/>
      <c r="D43" s="44"/>
      <c r="E43" s="45"/>
      <c r="F43" s="74"/>
      <c r="G43" s="98"/>
      <c r="H43" s="60"/>
      <c r="I43" s="60"/>
      <c r="J43" s="11"/>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s="10" customFormat="1" ht="146.25" customHeight="1">
      <c r="A44" s="44" t="s">
        <v>16</v>
      </c>
      <c r="B44" s="179">
        <f>12520+4420+2520+520+1200+60+225</f>
        <v>21465</v>
      </c>
      <c r="C44" s="424" t="s">
        <v>308</v>
      </c>
      <c r="D44" s="44"/>
      <c r="E44" s="45"/>
      <c r="F44" s="43"/>
      <c r="G44" s="97"/>
      <c r="H44" s="19"/>
      <c r="I44" s="19"/>
      <c r="J44" s="9"/>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row>
    <row r="45" spans="1:114" s="13" customFormat="1" ht="20.25" customHeight="1">
      <c r="A45" s="27" t="s">
        <v>20</v>
      </c>
      <c r="B45" s="194">
        <f>SUM(B44:B44)</f>
        <v>21465</v>
      </c>
      <c r="C45" s="424"/>
      <c r="D45" s="44"/>
      <c r="E45" s="45"/>
      <c r="F45" s="74">
        <f>F44</f>
        <v>0</v>
      </c>
      <c r="G45" s="98"/>
      <c r="H45" s="60"/>
      <c r="I45" s="60"/>
      <c r="J45" s="11"/>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s="10" customFormat="1" ht="40.5" customHeight="1">
      <c r="A46" s="44" t="s">
        <v>17</v>
      </c>
      <c r="B46" s="179">
        <f>226+379.3+379.3</f>
        <v>984.5999999999999</v>
      </c>
      <c r="C46" s="424" t="s">
        <v>77</v>
      </c>
      <c r="D46" s="19"/>
      <c r="E46" s="45"/>
      <c r="F46" s="43"/>
      <c r="G46" s="97"/>
      <c r="H46" s="19"/>
      <c r="I46" s="19"/>
      <c r="J46" s="9"/>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row>
    <row r="47" spans="1:114" s="13" customFormat="1" ht="24.75" customHeight="1">
      <c r="A47" s="27" t="s">
        <v>20</v>
      </c>
      <c r="B47" s="48">
        <f>SUM(B46:B46)</f>
        <v>984.5999999999999</v>
      </c>
      <c r="C47" s="424"/>
      <c r="D47" s="44"/>
      <c r="E47" s="43"/>
      <c r="F47" s="74"/>
      <c r="G47" s="98"/>
      <c r="H47" s="60"/>
      <c r="I47" s="60"/>
      <c r="J47" s="11"/>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s="10" customFormat="1" ht="129.75" customHeight="1">
      <c r="A48" s="44" t="s">
        <v>18</v>
      </c>
      <c r="B48" s="179">
        <f>150+1800+1475+160+700</f>
        <v>4285</v>
      </c>
      <c r="C48" s="424" t="s">
        <v>309</v>
      </c>
      <c r="D48" s="44"/>
      <c r="E48" s="43"/>
      <c r="F48" s="43"/>
      <c r="G48" s="97"/>
      <c r="H48" s="19"/>
      <c r="I48" s="19"/>
      <c r="J48" s="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row>
    <row r="49" spans="1:114" s="10" customFormat="1" ht="21.75" customHeight="1" thickBot="1">
      <c r="A49" s="27" t="s">
        <v>20</v>
      </c>
      <c r="B49" s="48">
        <f>SUM(B48:B48)</f>
        <v>4285</v>
      </c>
      <c r="C49" s="424"/>
      <c r="D49" s="44"/>
      <c r="E49" s="43"/>
      <c r="F49" s="74">
        <f>F48</f>
        <v>0</v>
      </c>
      <c r="G49" s="97"/>
      <c r="H49" s="19"/>
      <c r="I49" s="19"/>
      <c r="J49" s="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row>
    <row r="50" spans="1:114" s="16" customFormat="1" ht="36.75" customHeight="1" thickBot="1">
      <c r="A50" s="195" t="s">
        <v>68</v>
      </c>
      <c r="B50" s="196">
        <f>SUM(B14+B16+B18+B20+B22+B25+B27+B30+B33+B35+B37+B39+B41+B43+B45+B47+B49)</f>
        <v>103175.1</v>
      </c>
      <c r="C50" s="96"/>
      <c r="D50" s="197"/>
      <c r="E50" s="61"/>
      <c r="F50" s="198">
        <f>F41+F49+F18+F45</f>
        <v>0</v>
      </c>
      <c r="G50" s="199"/>
      <c r="H50" s="57">
        <f>H22</f>
        <v>0</v>
      </c>
      <c r="I50" s="6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row>
    <row r="51" spans="1:114" s="10" customFormat="1" ht="325.5" customHeight="1">
      <c r="A51" s="26" t="s">
        <v>41</v>
      </c>
      <c r="B51" s="179">
        <f>8815+1320</f>
        <v>10135</v>
      </c>
      <c r="C51" s="424" t="s">
        <v>310</v>
      </c>
      <c r="D51" s="59"/>
      <c r="E51" s="44" t="s">
        <v>213</v>
      </c>
      <c r="F51" s="43"/>
      <c r="G51" s="97"/>
      <c r="H51" s="60"/>
      <c r="I51" s="60"/>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s="13" customFormat="1" ht="25.5" customHeight="1">
      <c r="A52" s="27" t="s">
        <v>20</v>
      </c>
      <c r="B52" s="48">
        <f>SUM(B51:B51)</f>
        <v>10135</v>
      </c>
      <c r="C52" s="424"/>
      <c r="D52" s="57">
        <f>D51</f>
        <v>0</v>
      </c>
      <c r="E52" s="61"/>
      <c r="F52" s="74">
        <f>F51</f>
        <v>0</v>
      </c>
      <c r="G52" s="98"/>
      <c r="H52" s="60"/>
      <c r="I52" s="60"/>
      <c r="J52" s="11"/>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s="10" customFormat="1" ht="35.25" customHeight="1">
      <c r="A53" s="26" t="s">
        <v>56</v>
      </c>
      <c r="B53" s="179">
        <f>953+1054.9+2435+1122</f>
        <v>5564.9</v>
      </c>
      <c r="C53" s="424" t="s">
        <v>300</v>
      </c>
      <c r="D53" s="59"/>
      <c r="E53" s="62"/>
      <c r="F53" s="43"/>
      <c r="G53" s="97"/>
      <c r="H53" s="60"/>
      <c r="I53" s="60"/>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s="13" customFormat="1" ht="26.25" customHeight="1">
      <c r="A54" s="27" t="s">
        <v>20</v>
      </c>
      <c r="B54" s="48">
        <f>SUM(B53:B53)</f>
        <v>5564.9</v>
      </c>
      <c r="C54" s="424"/>
      <c r="D54" s="57">
        <f>D53</f>
        <v>0</v>
      </c>
      <c r="E54" s="61"/>
      <c r="F54" s="74">
        <f>F53</f>
        <v>0</v>
      </c>
      <c r="G54" s="98"/>
      <c r="H54" s="60"/>
      <c r="I54" s="60"/>
      <c r="J54" s="1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13" customFormat="1" ht="26.25" customHeight="1">
      <c r="A55" s="422" t="s">
        <v>39</v>
      </c>
      <c r="B55" s="425">
        <v>4164</v>
      </c>
      <c r="C55" s="40" t="s">
        <v>84</v>
      </c>
      <c r="D55" s="59"/>
      <c r="E55" s="45" t="s">
        <v>213</v>
      </c>
      <c r="F55" s="74"/>
      <c r="G55" s="98"/>
      <c r="H55" s="60"/>
      <c r="I55" s="60"/>
      <c r="J55" s="1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s="13" customFormat="1" ht="63.75" customHeight="1">
      <c r="A56" s="422"/>
      <c r="B56" s="425"/>
      <c r="C56" s="120" t="s">
        <v>282</v>
      </c>
      <c r="D56" s="166"/>
      <c r="E56" s="156"/>
      <c r="F56" s="43"/>
      <c r="G56" s="97"/>
      <c r="H56" s="60"/>
      <c r="I56" s="60"/>
      <c r="J56" s="11"/>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s="13" customFormat="1" ht="20.25" customHeight="1">
      <c r="A57" s="27" t="s">
        <v>20</v>
      </c>
      <c r="B57" s="48">
        <f>SUM(B55:B55)</f>
        <v>4164</v>
      </c>
      <c r="C57" s="94"/>
      <c r="D57" s="57">
        <f>SUM(D55:D56)</f>
        <v>0</v>
      </c>
      <c r="E57" s="61"/>
      <c r="F57" s="74">
        <f>F56</f>
        <v>0</v>
      </c>
      <c r="G57" s="98"/>
      <c r="H57" s="60"/>
      <c r="I57" s="60"/>
      <c r="J57" s="11"/>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s="10" customFormat="1" ht="38.25" customHeight="1">
      <c r="A58" s="44" t="s">
        <v>38</v>
      </c>
      <c r="B58" s="200"/>
      <c r="C58" s="169"/>
      <c r="D58" s="166"/>
      <c r="E58" s="78" t="s">
        <v>213</v>
      </c>
      <c r="F58" s="43"/>
      <c r="G58" s="97"/>
      <c r="H58" s="78"/>
      <c r="I58" s="1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s="13" customFormat="1" ht="19.5" customHeight="1">
      <c r="A59" s="27" t="s">
        <v>20</v>
      </c>
      <c r="B59" s="48">
        <f>SUM(B58:B58)</f>
        <v>0</v>
      </c>
      <c r="C59" s="94"/>
      <c r="D59" s="57">
        <f>D58</f>
        <v>0</v>
      </c>
      <c r="E59" s="86"/>
      <c r="F59" s="74">
        <f>F58</f>
        <v>0</v>
      </c>
      <c r="G59" s="98"/>
      <c r="H59" s="86"/>
      <c r="I59" s="6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13" customFormat="1" ht="42" customHeight="1">
      <c r="A60" s="44" t="s">
        <v>40</v>
      </c>
      <c r="B60" s="179"/>
      <c r="C60" s="40"/>
      <c r="D60" s="59"/>
      <c r="E60" s="78" t="s">
        <v>213</v>
      </c>
      <c r="F60" s="43"/>
      <c r="G60" s="97"/>
      <c r="H60" s="86"/>
      <c r="I60" s="60"/>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s="13" customFormat="1" ht="26.25" customHeight="1">
      <c r="A61" s="27" t="s">
        <v>20</v>
      </c>
      <c r="B61" s="48">
        <f>SUM(B60:B60)</f>
        <v>0</v>
      </c>
      <c r="C61" s="96"/>
      <c r="D61" s="61">
        <f>SUM(D60)</f>
        <v>0</v>
      </c>
      <c r="E61" s="61"/>
      <c r="F61" s="57">
        <f>F60</f>
        <v>0</v>
      </c>
      <c r="G61" s="98"/>
      <c r="H61" s="86"/>
      <c r="I61" s="6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1:114" s="13" customFormat="1" ht="285.75" customHeight="1">
      <c r="A62" s="444" t="s">
        <v>42</v>
      </c>
      <c r="B62" s="436">
        <v>6300</v>
      </c>
      <c r="C62" s="208" t="s">
        <v>285</v>
      </c>
      <c r="D62" s="45">
        <v>87904</v>
      </c>
      <c r="E62" s="45" t="s">
        <v>284</v>
      </c>
      <c r="F62" s="59"/>
      <c r="G62" s="97"/>
      <c r="H62" s="78"/>
      <c r="I62" s="19"/>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row>
    <row r="63" spans="1:114" s="13" customFormat="1" ht="30" customHeight="1">
      <c r="A63" s="445"/>
      <c r="B63" s="437"/>
      <c r="C63" s="40" t="s">
        <v>84</v>
      </c>
      <c r="D63" s="166"/>
      <c r="E63" s="45" t="s">
        <v>213</v>
      </c>
      <c r="F63" s="59"/>
      <c r="G63" s="97"/>
      <c r="H63" s="86"/>
      <c r="I63" s="60"/>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row>
    <row r="64" spans="1:114" s="13" customFormat="1" ht="24" customHeight="1">
      <c r="A64" s="27" t="s">
        <v>20</v>
      </c>
      <c r="B64" s="48">
        <f>SUM(B62:B63)</f>
        <v>6300</v>
      </c>
      <c r="C64" s="96"/>
      <c r="D64" s="57">
        <f>D63+D62</f>
        <v>87904</v>
      </c>
      <c r="E64" s="61"/>
      <c r="F64" s="57">
        <f>F63</f>
        <v>0</v>
      </c>
      <c r="G64" s="98"/>
      <c r="H64" s="86"/>
      <c r="I64" s="60"/>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row>
    <row r="65" spans="1:114" s="10" customFormat="1" ht="75" customHeight="1">
      <c r="A65" s="44" t="s">
        <v>29</v>
      </c>
      <c r="B65" s="179">
        <v>29928</v>
      </c>
      <c r="C65" s="424" t="s">
        <v>311</v>
      </c>
      <c r="D65" s="45"/>
      <c r="E65" s="59" t="s">
        <v>213</v>
      </c>
      <c r="F65" s="45"/>
      <c r="G65" s="97"/>
      <c r="H65" s="43"/>
      <c r="I65" s="1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row>
    <row r="66" spans="1:114" s="13" customFormat="1" ht="24" customHeight="1">
      <c r="A66" s="27" t="s">
        <v>20</v>
      </c>
      <c r="B66" s="194">
        <f>SUM(B65:B65)</f>
        <v>29928</v>
      </c>
      <c r="C66" s="424"/>
      <c r="D66" s="57">
        <f>SUM(D65)</f>
        <v>0</v>
      </c>
      <c r="E66" s="61"/>
      <c r="F66" s="57">
        <f>F65</f>
        <v>0</v>
      </c>
      <c r="G66" s="98"/>
      <c r="H66" s="74">
        <f>H65</f>
        <v>0</v>
      </c>
      <c r="I66" s="60"/>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row>
    <row r="67" spans="1:114" s="13" customFormat="1" ht="174.75" customHeight="1" hidden="1">
      <c r="A67" s="27" t="s">
        <v>20</v>
      </c>
      <c r="B67" s="48">
        <f>SUM(B65:B66)</f>
        <v>59856</v>
      </c>
      <c r="C67" s="94"/>
      <c r="D67" s="61"/>
      <c r="E67" s="57"/>
      <c r="F67" s="61"/>
      <c r="G67" s="98"/>
      <c r="H67" s="86"/>
      <c r="I67" s="86"/>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row>
    <row r="68" spans="1:114" s="13" customFormat="1" ht="16.5" customHeight="1" hidden="1">
      <c r="A68" s="21" t="s">
        <v>37</v>
      </c>
      <c r="B68" s="47">
        <v>10999</v>
      </c>
      <c r="C68" s="40" t="s">
        <v>52</v>
      </c>
      <c r="D68" s="61"/>
      <c r="E68" s="57"/>
      <c r="F68" s="61"/>
      <c r="G68" s="98"/>
      <c r="H68" s="86"/>
      <c r="I68" s="86"/>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row>
    <row r="69" spans="1:114" s="10" customFormat="1" ht="17.25" customHeight="1" hidden="1">
      <c r="A69" s="21" t="s">
        <v>37</v>
      </c>
      <c r="B69" s="47">
        <v>1219</v>
      </c>
      <c r="C69" s="40" t="s">
        <v>43</v>
      </c>
      <c r="D69" s="45"/>
      <c r="E69" s="57"/>
      <c r="F69" s="45"/>
      <c r="G69" s="97"/>
      <c r="H69" s="78"/>
      <c r="I69" s="1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row>
    <row r="70" spans="1:114" s="13" customFormat="1" ht="16.5" customHeight="1" hidden="1">
      <c r="A70" s="27" t="s">
        <v>20</v>
      </c>
      <c r="B70" s="48">
        <f>SUM(B68:B69)</f>
        <v>12218</v>
      </c>
      <c r="C70" s="94"/>
      <c r="D70" s="61"/>
      <c r="E70" s="57"/>
      <c r="F70" s="61"/>
      <c r="G70" s="98"/>
      <c r="H70" s="86"/>
      <c r="I70" s="86"/>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row>
    <row r="71" spans="1:114" s="13" customFormat="1" ht="16.5" customHeight="1" hidden="1">
      <c r="A71" s="21" t="s">
        <v>30</v>
      </c>
      <c r="B71" s="181">
        <v>3133</v>
      </c>
      <c r="C71" s="40" t="s">
        <v>44</v>
      </c>
      <c r="D71" s="45"/>
      <c r="E71" s="57"/>
      <c r="F71" s="61"/>
      <c r="G71" s="98"/>
      <c r="H71" s="86"/>
      <c r="I71" s="8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row>
    <row r="72" spans="1:114" s="13" customFormat="1" ht="18.75" customHeight="1" hidden="1">
      <c r="A72" s="21" t="s">
        <v>30</v>
      </c>
      <c r="B72" s="181">
        <v>120</v>
      </c>
      <c r="C72" s="40" t="s">
        <v>36</v>
      </c>
      <c r="D72" s="45"/>
      <c r="E72" s="57"/>
      <c r="F72" s="61"/>
      <c r="G72" s="98"/>
      <c r="H72" s="86"/>
      <c r="I72" s="86"/>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row>
    <row r="73" spans="1:114" s="13" customFormat="1" ht="18.75" customHeight="1" hidden="1">
      <c r="A73" s="21" t="s">
        <v>30</v>
      </c>
      <c r="B73" s="181">
        <v>210</v>
      </c>
      <c r="C73" s="40" t="s">
        <v>36</v>
      </c>
      <c r="D73" s="45"/>
      <c r="E73" s="57"/>
      <c r="F73" s="61"/>
      <c r="G73" s="98"/>
      <c r="H73" s="86"/>
      <c r="I73" s="8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row>
    <row r="74" spans="1:114" s="13" customFormat="1" ht="16.5" customHeight="1" hidden="1">
      <c r="A74" s="27" t="s">
        <v>20</v>
      </c>
      <c r="B74" s="196">
        <f>SUM(B71:B73)</f>
        <v>3463</v>
      </c>
      <c r="C74" s="94"/>
      <c r="D74" s="61"/>
      <c r="E74" s="57"/>
      <c r="F74" s="61"/>
      <c r="G74" s="98"/>
      <c r="H74" s="86"/>
      <c r="I74" s="86"/>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row>
    <row r="75" spans="1:114" s="13" customFormat="1" ht="17.25" customHeight="1" hidden="1">
      <c r="A75" s="21" t="s">
        <v>31</v>
      </c>
      <c r="B75" s="201">
        <v>60</v>
      </c>
      <c r="C75" s="40" t="s">
        <v>48</v>
      </c>
      <c r="D75" s="201">
        <v>149639.87</v>
      </c>
      <c r="E75" s="62" t="s">
        <v>47</v>
      </c>
      <c r="F75" s="59"/>
      <c r="G75" s="98"/>
      <c r="H75" s="21"/>
      <c r="I75" s="86"/>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row>
    <row r="76" spans="1:114" s="13" customFormat="1" ht="17.25" customHeight="1" hidden="1">
      <c r="A76" s="21" t="s">
        <v>31</v>
      </c>
      <c r="B76" s="201">
        <v>3951.33</v>
      </c>
      <c r="C76" s="40" t="s">
        <v>51</v>
      </c>
      <c r="D76" s="201"/>
      <c r="E76" s="62"/>
      <c r="F76" s="59"/>
      <c r="G76" s="98"/>
      <c r="H76" s="21"/>
      <c r="I76" s="86"/>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row>
    <row r="77" spans="1:114" s="10" customFormat="1" ht="43.5" customHeight="1">
      <c r="A77" s="44" t="s">
        <v>37</v>
      </c>
      <c r="B77" s="179">
        <f>4131+3962</f>
        <v>8093</v>
      </c>
      <c r="C77" s="434" t="s">
        <v>312</v>
      </c>
      <c r="D77" s="45"/>
      <c r="E77" s="59" t="s">
        <v>213</v>
      </c>
      <c r="F77" s="45"/>
      <c r="G77" s="97"/>
      <c r="H77" s="78"/>
      <c r="I77" s="1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row>
    <row r="78" spans="1:114" s="13" customFormat="1" ht="21.75" customHeight="1">
      <c r="A78" s="27" t="s">
        <v>20</v>
      </c>
      <c r="B78" s="48">
        <f>SUM(B77:B77)</f>
        <v>8093</v>
      </c>
      <c r="C78" s="434"/>
      <c r="D78" s="57">
        <f>SUM(D77)</f>
        <v>0</v>
      </c>
      <c r="E78" s="61"/>
      <c r="F78" s="57">
        <f>F77</f>
        <v>0</v>
      </c>
      <c r="G78" s="98"/>
      <c r="H78" s="86"/>
      <c r="I78" s="60"/>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row>
    <row r="79" spans="1:114" s="10" customFormat="1" ht="56.25" customHeight="1">
      <c r="A79" s="44" t="s">
        <v>30</v>
      </c>
      <c r="B79" s="179">
        <v>1350</v>
      </c>
      <c r="C79" s="40" t="s">
        <v>286</v>
      </c>
      <c r="D79" s="45"/>
      <c r="E79" s="59" t="s">
        <v>213</v>
      </c>
      <c r="F79" s="45"/>
      <c r="G79" s="97"/>
      <c r="H79" s="78"/>
      <c r="I79" s="1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row>
    <row r="80" spans="1:114" s="13" customFormat="1" ht="18" customHeight="1">
      <c r="A80" s="27" t="s">
        <v>20</v>
      </c>
      <c r="B80" s="48">
        <f>SUM(B79:B79)</f>
        <v>1350</v>
      </c>
      <c r="C80" s="96"/>
      <c r="D80" s="57">
        <f>D79</f>
        <v>0</v>
      </c>
      <c r="E80" s="61"/>
      <c r="F80" s="57">
        <f>F79</f>
        <v>0</v>
      </c>
      <c r="G80" s="98"/>
      <c r="H80" s="86"/>
      <c r="I80" s="60"/>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row>
    <row r="81" spans="1:114" s="10" customFormat="1" ht="39.75" customHeight="1">
      <c r="A81" s="44" t="s">
        <v>57</v>
      </c>
      <c r="B81" s="179"/>
      <c r="C81" s="40"/>
      <c r="D81" s="45"/>
      <c r="E81" s="59" t="s">
        <v>213</v>
      </c>
      <c r="F81" s="45"/>
      <c r="G81" s="97"/>
      <c r="H81" s="78"/>
      <c r="I81" s="1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row>
    <row r="82" spans="1:114" s="13" customFormat="1" ht="24" customHeight="1">
      <c r="A82" s="27" t="s">
        <v>20</v>
      </c>
      <c r="B82" s="48">
        <f>SUM(B81:B81)</f>
        <v>0</v>
      </c>
      <c r="C82" s="96"/>
      <c r="D82" s="57">
        <f>SUM(D81)</f>
        <v>0</v>
      </c>
      <c r="E82" s="61"/>
      <c r="F82" s="57">
        <f>F81</f>
        <v>0</v>
      </c>
      <c r="G82" s="98"/>
      <c r="H82" s="86"/>
      <c r="I82" s="60"/>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row>
    <row r="83" spans="1:114" s="13" customFormat="1" ht="22.5" customHeight="1">
      <c r="A83" s="422" t="s">
        <v>31</v>
      </c>
      <c r="B83" s="425">
        <f>1734.18+11907.9+700+1586.4+1637.8</f>
        <v>17566.28</v>
      </c>
      <c r="C83" s="40" t="s">
        <v>83</v>
      </c>
      <c r="D83" s="430"/>
      <c r="E83" s="41" t="s">
        <v>213</v>
      </c>
      <c r="F83" s="57"/>
      <c r="G83" s="98"/>
      <c r="H83" s="86"/>
      <c r="I83" s="60"/>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row>
    <row r="84" spans="1:114" s="10" customFormat="1" ht="124.5" customHeight="1">
      <c r="A84" s="422"/>
      <c r="B84" s="425"/>
      <c r="C84" s="424" t="s">
        <v>302</v>
      </c>
      <c r="D84" s="430"/>
      <c r="E84" s="209"/>
      <c r="F84" s="45"/>
      <c r="G84" s="97"/>
      <c r="H84" s="78"/>
      <c r="I84" s="1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row>
    <row r="85" spans="1:114" s="13" customFormat="1" ht="23.25" customHeight="1">
      <c r="A85" s="27" t="s">
        <v>20</v>
      </c>
      <c r="B85" s="194">
        <f>SUM(B83:B83)</f>
        <v>17566.28</v>
      </c>
      <c r="C85" s="424"/>
      <c r="D85" s="57">
        <f>D84+D83</f>
        <v>0</v>
      </c>
      <c r="E85" s="61"/>
      <c r="F85" s="57">
        <f>F84</f>
        <v>0</v>
      </c>
      <c r="G85" s="98"/>
      <c r="H85" s="86"/>
      <c r="I85" s="60"/>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row>
    <row r="86" spans="1:114" s="13" customFormat="1" ht="30.75" customHeight="1">
      <c r="A86" s="422" t="s">
        <v>58</v>
      </c>
      <c r="B86" s="436"/>
      <c r="C86" s="202" t="s">
        <v>83</v>
      </c>
      <c r="D86" s="59"/>
      <c r="E86" s="45" t="s">
        <v>213</v>
      </c>
      <c r="F86" s="57"/>
      <c r="G86" s="98"/>
      <c r="H86" s="86"/>
      <c r="I86" s="60"/>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row>
    <row r="87" spans="1:114" s="13" customFormat="1" ht="34.5" customHeight="1">
      <c r="A87" s="422"/>
      <c r="B87" s="437"/>
      <c r="C87" s="40"/>
      <c r="D87" s="181"/>
      <c r="E87" s="156"/>
      <c r="F87" s="59"/>
      <c r="G87" s="97"/>
      <c r="H87" s="21"/>
      <c r="I87" s="86"/>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row>
    <row r="88" spans="1:114" s="13" customFormat="1" ht="19.5" customHeight="1">
      <c r="A88" s="27" t="s">
        <v>20</v>
      </c>
      <c r="B88" s="203">
        <f>B86</f>
        <v>0</v>
      </c>
      <c r="C88" s="94"/>
      <c r="D88" s="203">
        <f>SUM(D86:D87)</f>
        <v>0</v>
      </c>
      <c r="E88" s="57"/>
      <c r="F88" s="61">
        <f>F87</f>
        <v>0</v>
      </c>
      <c r="G88" s="98"/>
      <c r="H88" s="86"/>
      <c r="I88" s="86"/>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row>
    <row r="89" spans="1:114" s="13" customFormat="1" ht="22.5" customHeight="1">
      <c r="A89" s="422" t="s">
        <v>33</v>
      </c>
      <c r="B89" s="438">
        <f>4740+5870+7945</f>
        <v>18555</v>
      </c>
      <c r="C89" s="202" t="s">
        <v>83</v>
      </c>
      <c r="D89" s="201"/>
      <c r="E89" s="45" t="s">
        <v>213</v>
      </c>
      <c r="F89" s="61"/>
      <c r="G89" s="98"/>
      <c r="H89" s="86"/>
      <c r="I89" s="86"/>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row>
    <row r="90" spans="1:114" s="13" customFormat="1" ht="141.75" customHeight="1">
      <c r="A90" s="422"/>
      <c r="B90" s="438"/>
      <c r="C90" s="40" t="s">
        <v>288</v>
      </c>
      <c r="D90" s="181"/>
      <c r="E90" s="44"/>
      <c r="F90" s="59"/>
      <c r="G90" s="97"/>
      <c r="H90" s="21"/>
      <c r="I90" s="86"/>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1:114" s="13" customFormat="1" ht="21" customHeight="1">
      <c r="A91" s="27" t="s">
        <v>20</v>
      </c>
      <c r="B91" s="203">
        <f>SUM(B89)</f>
        <v>18555</v>
      </c>
      <c r="C91" s="94"/>
      <c r="D91" s="203">
        <f>SUM(D89:D90)</f>
        <v>0</v>
      </c>
      <c r="E91" s="57"/>
      <c r="F91" s="61">
        <f>F90</f>
        <v>0</v>
      </c>
      <c r="G91" s="98"/>
      <c r="H91" s="86"/>
      <c r="I91" s="86"/>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1:114" s="13" customFormat="1" ht="33" customHeight="1">
      <c r="A92" s="422" t="s">
        <v>45</v>
      </c>
      <c r="B92" s="442"/>
      <c r="C92" s="202" t="s">
        <v>289</v>
      </c>
      <c r="D92" s="166"/>
      <c r="E92" s="156" t="s">
        <v>213</v>
      </c>
      <c r="F92" s="59"/>
      <c r="G92" s="97"/>
      <c r="H92" s="86"/>
      <c r="I92" s="86"/>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1:114" s="13" customFormat="1" ht="31.5" customHeight="1">
      <c r="A93" s="422"/>
      <c r="B93" s="443"/>
      <c r="C93" s="40"/>
      <c r="D93" s="166"/>
      <c r="F93" s="59"/>
      <c r="G93" s="97"/>
      <c r="H93" s="86"/>
      <c r="I93" s="86"/>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1:114" s="13" customFormat="1" ht="19.5" customHeight="1">
      <c r="A94" s="27" t="s">
        <v>20</v>
      </c>
      <c r="B94" s="196">
        <f>B93</f>
        <v>0</v>
      </c>
      <c r="C94" s="94"/>
      <c r="D94" s="61">
        <f>SUM(D92:D93)</f>
        <v>0</v>
      </c>
      <c r="E94" s="57"/>
      <c r="F94" s="61">
        <f>F93+F92</f>
        <v>0</v>
      </c>
      <c r="G94" s="98"/>
      <c r="H94" s="86"/>
      <c r="I94" s="86"/>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1:114" s="13" customFormat="1" ht="22.5" customHeight="1">
      <c r="A95" s="444" t="s">
        <v>59</v>
      </c>
      <c r="B95" s="442"/>
      <c r="C95" s="210" t="s">
        <v>83</v>
      </c>
      <c r="D95" s="181">
        <v>450</v>
      </c>
      <c r="E95" s="211" t="s">
        <v>213</v>
      </c>
      <c r="F95" s="59"/>
      <c r="G95" s="97"/>
      <c r="H95" s="86"/>
      <c r="I95" s="86"/>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1:114" s="13" customFormat="1" ht="27" customHeight="1">
      <c r="A96" s="445"/>
      <c r="B96" s="443"/>
      <c r="C96" s="210"/>
      <c r="D96" s="181"/>
      <c r="E96" s="211"/>
      <c r="F96" s="59"/>
      <c r="G96" s="97"/>
      <c r="H96" s="86"/>
      <c r="I96" s="86"/>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1:114" s="13" customFormat="1" ht="19.5" customHeight="1">
      <c r="A97" s="27" t="s">
        <v>20</v>
      </c>
      <c r="B97" s="196">
        <f>B95</f>
        <v>0</v>
      </c>
      <c r="C97" s="94"/>
      <c r="D97" s="61">
        <f>D95+D96</f>
        <v>450</v>
      </c>
      <c r="E97" s="59"/>
      <c r="F97" s="61">
        <f>F95</f>
        <v>0</v>
      </c>
      <c r="G97" s="98"/>
      <c r="H97" s="86"/>
      <c r="I97" s="8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row>
    <row r="98" spans="1:114" s="13" customFormat="1" ht="60" customHeight="1">
      <c r="A98" s="21" t="s">
        <v>50</v>
      </c>
      <c r="B98" s="181"/>
      <c r="C98" s="40"/>
      <c r="D98" s="181"/>
      <c r="E98" s="44" t="s">
        <v>213</v>
      </c>
      <c r="F98" s="59"/>
      <c r="G98" s="97"/>
      <c r="H98" s="86"/>
      <c r="I98" s="86"/>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row>
    <row r="99" spans="1:114" s="13" customFormat="1" ht="21.75" customHeight="1">
      <c r="A99" s="27" t="s">
        <v>20</v>
      </c>
      <c r="B99" s="196">
        <f>SUM(B98)</f>
        <v>0</v>
      </c>
      <c r="C99" s="94"/>
      <c r="D99" s="61">
        <f>D98</f>
        <v>0</v>
      </c>
      <c r="E99" s="59"/>
      <c r="F99" s="61">
        <f>F98</f>
        <v>0</v>
      </c>
      <c r="G99" s="98"/>
      <c r="H99" s="86"/>
      <c r="I99" s="86"/>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row>
    <row r="100" spans="1:114" s="13" customFormat="1" ht="35.25" customHeight="1">
      <c r="A100" s="44" t="s">
        <v>60</v>
      </c>
      <c r="B100" s="181"/>
      <c r="C100" s="40" t="s">
        <v>83</v>
      </c>
      <c r="D100" s="181">
        <v>720</v>
      </c>
      <c r="E100" s="44" t="s">
        <v>213</v>
      </c>
      <c r="F100" s="59"/>
      <c r="G100" s="97"/>
      <c r="H100" s="86"/>
      <c r="I100" s="86"/>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row>
    <row r="101" spans="1:114" s="13" customFormat="1" ht="20.25" customHeight="1">
      <c r="A101" s="27" t="s">
        <v>20</v>
      </c>
      <c r="B101" s="196">
        <f>SUM(B100)</f>
        <v>0</v>
      </c>
      <c r="C101" s="94"/>
      <c r="D101" s="61">
        <f>D100</f>
        <v>720</v>
      </c>
      <c r="E101" s="59"/>
      <c r="F101" s="61">
        <f>F100</f>
        <v>0</v>
      </c>
      <c r="G101" s="98"/>
      <c r="H101" s="86"/>
      <c r="I101" s="86"/>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row>
    <row r="102" spans="1:114" s="13" customFormat="1" ht="36" customHeight="1">
      <c r="A102" s="21" t="s">
        <v>61</v>
      </c>
      <c r="B102" s="166"/>
      <c r="C102" s="40" t="s">
        <v>36</v>
      </c>
      <c r="D102" s="166"/>
      <c r="E102" s="44" t="s">
        <v>213</v>
      </c>
      <c r="F102" s="59"/>
      <c r="G102" s="97"/>
      <c r="H102" s="86"/>
      <c r="I102" s="86"/>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1:114" s="13" customFormat="1" ht="19.5" customHeight="1">
      <c r="A103" s="27" t="s">
        <v>20</v>
      </c>
      <c r="B103" s="196">
        <f>B102</f>
        <v>0</v>
      </c>
      <c r="C103" s="94"/>
      <c r="D103" s="61">
        <f>D102</f>
        <v>0</v>
      </c>
      <c r="E103" s="59"/>
      <c r="F103" s="61">
        <f>F102</f>
        <v>0</v>
      </c>
      <c r="G103" s="98"/>
      <c r="H103" s="86"/>
      <c r="I103" s="86"/>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1:114" s="13" customFormat="1" ht="42.75" customHeight="1">
      <c r="A104" s="422" t="s">
        <v>62</v>
      </c>
      <c r="B104" s="438"/>
      <c r="C104" s="120"/>
      <c r="D104" s="61"/>
      <c r="E104" s="59"/>
      <c r="F104" s="61"/>
      <c r="G104" s="98"/>
      <c r="H104" s="86"/>
      <c r="I104" s="86"/>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1:114" s="13" customFormat="1" ht="30" customHeight="1">
      <c r="A105" s="422"/>
      <c r="B105" s="438"/>
      <c r="C105" s="40" t="s">
        <v>84</v>
      </c>
      <c r="D105" s="181"/>
      <c r="E105" s="44" t="s">
        <v>213</v>
      </c>
      <c r="F105" s="59"/>
      <c r="G105" s="97"/>
      <c r="H105" s="86"/>
      <c r="I105" s="86"/>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row>
    <row r="106" spans="1:114" s="13" customFormat="1" ht="21" customHeight="1">
      <c r="A106" s="27" t="s">
        <v>20</v>
      </c>
      <c r="B106" s="196">
        <f>SUM(B104)</f>
        <v>0</v>
      </c>
      <c r="C106" s="94"/>
      <c r="D106" s="61">
        <f>SUM(D105)</f>
        <v>0</v>
      </c>
      <c r="E106" s="57"/>
      <c r="F106" s="61">
        <f>F105</f>
        <v>0</v>
      </c>
      <c r="G106" s="98"/>
      <c r="H106" s="86"/>
      <c r="I106" s="86"/>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row>
    <row r="107" spans="1:114" s="13" customFormat="1" ht="30" customHeight="1">
      <c r="A107" s="444" t="s">
        <v>46</v>
      </c>
      <c r="B107" s="442">
        <f>12637+24200</f>
        <v>36837</v>
      </c>
      <c r="C107" s="202" t="s">
        <v>83</v>
      </c>
      <c r="D107" s="181"/>
      <c r="E107" s="44" t="s">
        <v>213</v>
      </c>
      <c r="F107" s="59"/>
      <c r="G107" s="97"/>
      <c r="H107" s="86"/>
      <c r="I107" s="86"/>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row>
    <row r="108" spans="1:114" s="13" customFormat="1" ht="344.25" customHeight="1">
      <c r="A108" s="445"/>
      <c r="B108" s="443"/>
      <c r="C108" s="212" t="s">
        <v>313</v>
      </c>
      <c r="D108" s="181">
        <v>87904</v>
      </c>
      <c r="E108" s="45" t="s">
        <v>284</v>
      </c>
      <c r="F108" s="59"/>
      <c r="G108" s="97"/>
      <c r="H108" s="86"/>
      <c r="I108" s="8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1:114" s="13" customFormat="1" ht="25.5" customHeight="1">
      <c r="A109" s="27" t="s">
        <v>20</v>
      </c>
      <c r="B109" s="196">
        <f>B107</f>
        <v>36837</v>
      </c>
      <c r="C109" s="94"/>
      <c r="D109" s="61">
        <f>D108+D107</f>
        <v>87904</v>
      </c>
      <c r="E109" s="57"/>
      <c r="F109" s="61">
        <f>F107</f>
        <v>0</v>
      </c>
      <c r="G109" s="98"/>
      <c r="H109" s="86"/>
      <c r="I109" s="86"/>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1:114" s="13" customFormat="1" ht="20.25" customHeight="1">
      <c r="A110" s="444" t="s">
        <v>63</v>
      </c>
      <c r="B110" s="442">
        <f>4590+1649.91</f>
        <v>6239.91</v>
      </c>
      <c r="C110" s="40" t="s">
        <v>84</v>
      </c>
      <c r="D110" s="181"/>
      <c r="E110" s="44" t="s">
        <v>213</v>
      </c>
      <c r="F110" s="59"/>
      <c r="G110" s="97"/>
      <c r="H110" s="86"/>
      <c r="I110" s="86"/>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1:114" s="13" customFormat="1" ht="65.25" customHeight="1">
      <c r="A111" s="445"/>
      <c r="B111" s="443"/>
      <c r="C111" s="40" t="s">
        <v>290</v>
      </c>
      <c r="D111" s="181"/>
      <c r="E111" s="44"/>
      <c r="F111" s="59"/>
      <c r="G111" s="97"/>
      <c r="H111" s="86"/>
      <c r="I111" s="86"/>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1:114" s="13" customFormat="1" ht="23.25" customHeight="1">
      <c r="A112" s="27" t="s">
        <v>20</v>
      </c>
      <c r="B112" s="196">
        <f>B110</f>
        <v>6239.91</v>
      </c>
      <c r="C112" s="94"/>
      <c r="D112" s="61">
        <f>SUM(D110)</f>
        <v>0</v>
      </c>
      <c r="E112" s="57"/>
      <c r="F112" s="61">
        <f>F110</f>
        <v>0</v>
      </c>
      <c r="G112" s="98"/>
      <c r="H112" s="86"/>
      <c r="I112" s="86"/>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1:114" s="13" customFormat="1" ht="43.5" customHeight="1">
      <c r="A113" s="21" t="s">
        <v>272</v>
      </c>
      <c r="B113" s="181"/>
      <c r="C113" s="40"/>
      <c r="D113" s="181"/>
      <c r="E113" s="157"/>
      <c r="F113" s="59"/>
      <c r="G113" s="98"/>
      <c r="H113" s="86"/>
      <c r="I113" s="8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1:114" s="13" customFormat="1" ht="16.5" customHeight="1">
      <c r="A114" s="27" t="s">
        <v>20</v>
      </c>
      <c r="B114" s="196">
        <f>B113</f>
        <v>0</v>
      </c>
      <c r="C114" s="94"/>
      <c r="D114" s="61">
        <f>D113</f>
        <v>0</v>
      </c>
      <c r="E114" s="57"/>
      <c r="F114" s="61"/>
      <c r="G114" s="98"/>
      <c r="H114" s="86"/>
      <c r="I114" s="8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1:114" s="13" customFormat="1" ht="19.5" customHeight="1">
      <c r="A115" s="21" t="s">
        <v>54</v>
      </c>
      <c r="B115" s="181"/>
      <c r="C115" s="40"/>
      <c r="D115" s="181"/>
      <c r="E115" s="62"/>
      <c r="F115" s="59"/>
      <c r="G115" s="98"/>
      <c r="H115" s="86"/>
      <c r="I115" s="86"/>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1:114" s="13" customFormat="1" ht="16.5" customHeight="1">
      <c r="A116" s="27" t="s">
        <v>20</v>
      </c>
      <c r="B116" s="196">
        <f>B115</f>
        <v>0</v>
      </c>
      <c r="C116" s="94"/>
      <c r="D116" s="60"/>
      <c r="E116" s="57"/>
      <c r="F116" s="61"/>
      <c r="G116" s="98"/>
      <c r="H116" s="86"/>
      <c r="I116" s="86"/>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1:114" s="13" customFormat="1" ht="19.5" customHeight="1">
      <c r="A117" s="21" t="s">
        <v>66</v>
      </c>
      <c r="B117" s="181"/>
      <c r="C117" s="40"/>
      <c r="D117" s="181"/>
      <c r="E117" s="62"/>
      <c r="F117" s="59"/>
      <c r="G117" s="98"/>
      <c r="H117" s="86"/>
      <c r="I117" s="86"/>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row>
    <row r="118" spans="1:114" s="13" customFormat="1" ht="16.5" customHeight="1">
      <c r="A118" s="27" t="s">
        <v>20</v>
      </c>
      <c r="B118" s="196">
        <f>B117</f>
        <v>0</v>
      </c>
      <c r="C118" s="94"/>
      <c r="D118" s="60"/>
      <c r="E118" s="57"/>
      <c r="F118" s="61"/>
      <c r="G118" s="98"/>
      <c r="H118" s="86"/>
      <c r="I118" s="86"/>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1:114" s="13" customFormat="1" ht="19.5" customHeight="1">
      <c r="A119" s="21" t="s">
        <v>67</v>
      </c>
      <c r="B119" s="181"/>
      <c r="C119" s="40"/>
      <c r="D119" s="181"/>
      <c r="E119" s="62"/>
      <c r="F119" s="59"/>
      <c r="G119" s="98"/>
      <c r="H119" s="86"/>
      <c r="I119" s="86"/>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1:114" s="13" customFormat="1" ht="16.5" customHeight="1">
      <c r="A120" s="27" t="s">
        <v>20</v>
      </c>
      <c r="B120" s="196">
        <f>SUM(B119)</f>
        <v>0</v>
      </c>
      <c r="C120" s="94"/>
      <c r="D120" s="60"/>
      <c r="E120" s="57"/>
      <c r="F120" s="61"/>
      <c r="G120" s="98"/>
      <c r="H120" s="86"/>
      <c r="I120" s="86"/>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1:114" s="13" customFormat="1" ht="53.25" customHeight="1">
      <c r="A121" s="44" t="s">
        <v>64</v>
      </c>
      <c r="B121" s="181">
        <v>400</v>
      </c>
      <c r="C121" s="40" t="s">
        <v>304</v>
      </c>
      <c r="D121" s="181"/>
      <c r="E121" s="62"/>
      <c r="F121" s="59"/>
      <c r="G121" s="98"/>
      <c r="H121" s="86"/>
      <c r="I121" s="86"/>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1:114" s="13" customFormat="1" ht="23.25" customHeight="1">
      <c r="A122" s="27" t="s">
        <v>20</v>
      </c>
      <c r="B122" s="196">
        <f>B121</f>
        <v>400</v>
      </c>
      <c r="C122" s="94"/>
      <c r="D122" s="60"/>
      <c r="E122" s="57"/>
      <c r="F122" s="61"/>
      <c r="G122" s="98"/>
      <c r="H122" s="86"/>
      <c r="I122" s="86"/>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1:114" s="13" customFormat="1" ht="37.5" customHeight="1">
      <c r="A123" s="21" t="s">
        <v>56</v>
      </c>
      <c r="B123" s="181"/>
      <c r="C123" s="40"/>
      <c r="D123" s="181"/>
      <c r="E123" s="62"/>
      <c r="F123" s="59"/>
      <c r="G123" s="98"/>
      <c r="H123" s="86"/>
      <c r="I123" s="8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row>
    <row r="124" spans="1:114" s="13" customFormat="1" ht="37.5" customHeight="1">
      <c r="A124" s="180" t="s">
        <v>20</v>
      </c>
      <c r="B124" s="181"/>
      <c r="C124" s="40"/>
      <c r="D124" s="181"/>
      <c r="E124" s="62"/>
      <c r="F124" s="59"/>
      <c r="G124" s="98"/>
      <c r="H124" s="86"/>
      <c r="I124" s="86"/>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row>
    <row r="125" spans="1:114" s="13" customFormat="1" ht="97.5" customHeight="1">
      <c r="A125" s="21" t="s">
        <v>111</v>
      </c>
      <c r="B125" s="181"/>
      <c r="C125" s="40"/>
      <c r="D125" s="181"/>
      <c r="E125" s="62"/>
      <c r="F125" s="59"/>
      <c r="G125" s="98"/>
      <c r="H125" s="43"/>
      <c r="I125" s="9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row>
    <row r="126" spans="1:114" s="13" customFormat="1" ht="51" customHeight="1" thickBot="1">
      <c r="A126" s="27" t="s">
        <v>20</v>
      </c>
      <c r="B126" s="48"/>
      <c r="C126" s="94"/>
      <c r="D126" s="86"/>
      <c r="E126" s="57"/>
      <c r="F126" s="61"/>
      <c r="G126" s="98"/>
      <c r="H126" s="74">
        <f>H125</f>
        <v>0</v>
      </c>
      <c r="I126" s="86"/>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row>
    <row r="127" spans="1:114" s="18" customFormat="1" ht="77.25" customHeight="1" thickBot="1">
      <c r="A127" s="195" t="s">
        <v>70</v>
      </c>
      <c r="B127" s="196">
        <f>SUM(B52+B54+B57+B59+B61+B64+B66+B78+B80+B82+B85+B88+B91+B94+B97+B99+B101+B103+B106+B109+B112+B114+B116+B118+B120+B122+B126)</f>
        <v>145133.09</v>
      </c>
      <c r="C127" s="196"/>
      <c r="D127" s="196">
        <f>SUM(D52+D54+D57+D59+D61+D64+D66+D78+D80+D82+D85+D88+D91+D94+D97+D99+D101+D103+D106+D109+D112+D114+D116+D118+D120+D122+D126)</f>
        <v>176978</v>
      </c>
      <c r="E127" s="196"/>
      <c r="F127" s="196">
        <f>F54+F59+F61+F64+F66+F78+F80+H113+F88+F91+F94+F97+F99+F101+F103+F106+F109+F112+F126+F57+F82+F85</f>
        <v>0</v>
      </c>
      <c r="G127" s="204"/>
      <c r="H127" s="196">
        <f>H66+H126</f>
        <v>0</v>
      </c>
      <c r="I127" s="196"/>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c r="DH127" s="187"/>
      <c r="DI127" s="187"/>
      <c r="DJ127" s="187"/>
    </row>
    <row r="128" spans="1:114" s="18" customFormat="1" ht="93.75" customHeight="1" thickBot="1">
      <c r="A128" s="27" t="s">
        <v>69</v>
      </c>
      <c r="B128" s="205">
        <f>SUM(B50+B127)</f>
        <v>248308.19</v>
      </c>
      <c r="C128" s="205"/>
      <c r="D128" s="205">
        <f>D127+D50</f>
        <v>176978</v>
      </c>
      <c r="E128" s="205"/>
      <c r="F128" s="205">
        <f>F50+F127</f>
        <v>0</v>
      </c>
      <c r="G128" s="206"/>
      <c r="H128" s="205">
        <f>H50+H127</f>
        <v>0</v>
      </c>
      <c r="I128" s="205"/>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row>
    <row r="129" spans="1:114" s="8" customFormat="1" ht="9.75" customHeight="1">
      <c r="A129" s="90"/>
      <c r="B129" s="90"/>
      <c r="C129" s="90"/>
      <c r="D129" s="88"/>
      <c r="E129" s="89"/>
      <c r="F129" s="88"/>
      <c r="G129" s="88"/>
      <c r="H129" s="71"/>
      <c r="I129" s="71"/>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row>
    <row r="130" spans="1:114" s="8" customFormat="1" ht="51" customHeight="1">
      <c r="A130" s="89" t="s">
        <v>93</v>
      </c>
      <c r="B130" s="89"/>
      <c r="C130" s="89"/>
      <c r="D130" s="88"/>
      <c r="E130" s="89"/>
      <c r="F130" s="88"/>
      <c r="G130" s="89" t="s">
        <v>95</v>
      </c>
      <c r="H130" s="71"/>
      <c r="I130" s="71"/>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row>
    <row r="131" spans="1:9" ht="15.75" customHeight="1">
      <c r="A131" s="90"/>
      <c r="B131" s="90"/>
      <c r="C131" s="91"/>
      <c r="D131" s="92"/>
      <c r="E131" s="93"/>
      <c r="F131" s="90"/>
      <c r="G131" s="90"/>
      <c r="H131" s="73"/>
      <c r="I131" s="73"/>
    </row>
    <row r="132" spans="1:9" ht="20.25" customHeight="1">
      <c r="A132" s="90" t="s">
        <v>35</v>
      </c>
      <c r="B132" s="90"/>
      <c r="C132" s="91"/>
      <c r="D132" s="92"/>
      <c r="E132" s="93"/>
      <c r="F132" s="90"/>
      <c r="G132" s="90" t="s">
        <v>106</v>
      </c>
      <c r="H132" s="73"/>
      <c r="I132" s="73"/>
    </row>
    <row r="133" spans="1:9" ht="14.25" customHeight="1">
      <c r="A133" s="91"/>
      <c r="B133" s="92"/>
      <c r="C133" s="91"/>
      <c r="D133" s="92"/>
      <c r="E133" s="90"/>
      <c r="F133" s="92"/>
      <c r="G133" s="92"/>
      <c r="H133" s="73"/>
      <c r="I133" s="73"/>
    </row>
    <row r="134" spans="1:9" ht="20.25" customHeight="1">
      <c r="A134" s="91" t="s">
        <v>228</v>
      </c>
      <c r="B134" s="92"/>
      <c r="C134" s="91"/>
      <c r="D134" s="92"/>
      <c r="E134" s="90"/>
      <c r="F134" s="92"/>
      <c r="G134" s="92"/>
      <c r="H134" s="73"/>
      <c r="I134" s="73"/>
    </row>
    <row r="135" spans="1:9" ht="20.25" customHeight="1">
      <c r="A135" s="91" t="s">
        <v>229</v>
      </c>
      <c r="B135" s="92"/>
      <c r="C135" s="91"/>
      <c r="D135" s="92"/>
      <c r="E135" s="90"/>
      <c r="F135" s="92"/>
      <c r="G135" s="92"/>
      <c r="H135" s="73"/>
      <c r="I135" s="73"/>
    </row>
    <row r="136" spans="1:9" ht="12" customHeight="1">
      <c r="A136" s="2"/>
      <c r="B136" s="2"/>
      <c r="C136" s="6"/>
      <c r="D136" s="2"/>
      <c r="E136" s="2"/>
      <c r="F136" s="2"/>
      <c r="G136" s="2"/>
      <c r="H136" s="2"/>
      <c r="I136" s="2"/>
    </row>
    <row r="137" spans="1:9" ht="15">
      <c r="A137" s="2"/>
      <c r="B137" s="2"/>
      <c r="C137" s="6"/>
      <c r="D137" s="2"/>
      <c r="E137" s="2"/>
      <c r="F137" s="2"/>
      <c r="G137" s="2"/>
      <c r="H137" s="2"/>
      <c r="I137" s="2"/>
    </row>
    <row r="138" spans="1:9" ht="15">
      <c r="A138" s="3"/>
      <c r="B138" s="2"/>
      <c r="C138" s="6"/>
      <c r="D138" s="2"/>
      <c r="E138" s="2"/>
      <c r="F138" s="2"/>
      <c r="G138" s="2"/>
      <c r="H138" s="2"/>
      <c r="I138" s="2"/>
    </row>
  </sheetData>
  <sheetProtection/>
  <mergeCells count="59">
    <mergeCell ref="D9:E10"/>
    <mergeCell ref="F9:G10"/>
    <mergeCell ref="G4:I4"/>
    <mergeCell ref="A5:I5"/>
    <mergeCell ref="A6:I6"/>
    <mergeCell ref="A7:I7"/>
    <mergeCell ref="E23:E24"/>
    <mergeCell ref="F23:F24"/>
    <mergeCell ref="H9:I10"/>
    <mergeCell ref="A12:A13"/>
    <mergeCell ref="B12:B13"/>
    <mergeCell ref="C12:C13"/>
    <mergeCell ref="A8:A11"/>
    <mergeCell ref="B8:E8"/>
    <mergeCell ref="F8:I8"/>
    <mergeCell ref="B9:C10"/>
    <mergeCell ref="G23:G24"/>
    <mergeCell ref="H23:H24"/>
    <mergeCell ref="I23:I24"/>
    <mergeCell ref="A28:A29"/>
    <mergeCell ref="B28:B29"/>
    <mergeCell ref="C28:C29"/>
    <mergeCell ref="A23:A24"/>
    <mergeCell ref="B23:B24"/>
    <mergeCell ref="C23:C24"/>
    <mergeCell ref="D23:D24"/>
    <mergeCell ref="A31:A32"/>
    <mergeCell ref="B31:B32"/>
    <mergeCell ref="C31:C33"/>
    <mergeCell ref="C36:C37"/>
    <mergeCell ref="C44:C45"/>
    <mergeCell ref="C46:C47"/>
    <mergeCell ref="D83:D84"/>
    <mergeCell ref="C84:C85"/>
    <mergeCell ref="C48:C49"/>
    <mergeCell ref="C51:C52"/>
    <mergeCell ref="C53:C54"/>
    <mergeCell ref="A55:A56"/>
    <mergeCell ref="B55:B56"/>
    <mergeCell ref="A62:A63"/>
    <mergeCell ref="B62:B63"/>
    <mergeCell ref="A92:A93"/>
    <mergeCell ref="B92:B93"/>
    <mergeCell ref="C65:C66"/>
    <mergeCell ref="C77:C78"/>
    <mergeCell ref="A83:A84"/>
    <mergeCell ref="B83:B84"/>
    <mergeCell ref="A86:A87"/>
    <mergeCell ref="B86:B87"/>
    <mergeCell ref="A89:A90"/>
    <mergeCell ref="B89:B90"/>
    <mergeCell ref="A110:A111"/>
    <mergeCell ref="B110:B111"/>
    <mergeCell ref="A95:A96"/>
    <mergeCell ref="B95:B96"/>
    <mergeCell ref="A104:A105"/>
    <mergeCell ref="B104:B105"/>
    <mergeCell ref="A107:A108"/>
    <mergeCell ref="B107:B108"/>
  </mergeCells>
  <printOptions/>
  <pageMargins left="0.3937007874015748" right="0.3937007874015748" top="0.3937007874015748" bottom="0.3937007874015748" header="0.31496062992125984" footer="0.31496062992125984"/>
  <pageSetup horizontalDpi="600" verticalDpi="600" orientation="portrait" paperSize="9" scale="50" r:id="rId1"/>
</worksheet>
</file>

<file path=xl/worksheets/sheet19.xml><?xml version="1.0" encoding="utf-8"?>
<worksheet xmlns="http://schemas.openxmlformats.org/spreadsheetml/2006/main" xmlns:r="http://schemas.openxmlformats.org/officeDocument/2006/relationships">
  <dimension ref="A1:DJ138"/>
  <sheetViews>
    <sheetView zoomScale="67" zoomScaleNormal="67" zoomScalePageLayoutView="0" workbookViewId="0" topLeftCell="A107">
      <selection activeCell="C121" sqref="C121"/>
    </sheetView>
  </sheetViews>
  <sheetFormatPr defaultColWidth="9.140625" defaultRowHeight="15"/>
  <cols>
    <col min="1" max="1" width="16.7109375" style="1" customWidth="1"/>
    <col min="2" max="2" width="17.28125" style="1" customWidth="1"/>
    <col min="3" max="3" width="37.28125" style="5" customWidth="1"/>
    <col min="4" max="4" width="13.8515625" style="1" customWidth="1"/>
    <col min="5" max="5" width="19.7109375" style="1" customWidth="1"/>
    <col min="6" max="6" width="13.8515625" style="1" customWidth="1"/>
    <col min="7" max="7" width="27.421875" style="1" customWidth="1"/>
    <col min="8" max="8" width="12.8515625" style="1" customWidth="1"/>
    <col min="9" max="9" width="25.8515625" style="1" customWidth="1"/>
    <col min="10" max="10" width="8.140625" style="2" customWidth="1"/>
    <col min="11" max="114" width="9.140625" style="2" customWidth="1"/>
    <col min="115" max="16384" width="9.14062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291</v>
      </c>
      <c r="B6" s="364"/>
      <c r="C6" s="364"/>
      <c r="D6" s="364"/>
      <c r="E6" s="364"/>
      <c r="F6" s="364"/>
      <c r="G6" s="364"/>
      <c r="H6" s="364"/>
      <c r="I6" s="364"/>
    </row>
    <row r="7" spans="1:114" s="4" customFormat="1" ht="15.75">
      <c r="A7" s="364" t="s">
        <v>27</v>
      </c>
      <c r="B7" s="364"/>
      <c r="C7" s="364"/>
      <c r="D7" s="364"/>
      <c r="E7" s="364"/>
      <c r="F7" s="364"/>
      <c r="G7" s="364"/>
      <c r="H7" s="364"/>
      <c r="I7" s="364"/>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row>
    <row r="8" spans="1:114" s="10" customFormat="1" ht="19.5" customHeight="1">
      <c r="A8" s="420" t="s">
        <v>28</v>
      </c>
      <c r="B8" s="420" t="s">
        <v>0</v>
      </c>
      <c r="C8" s="420"/>
      <c r="D8" s="420"/>
      <c r="E8" s="420"/>
      <c r="F8" s="420" t="s">
        <v>1</v>
      </c>
      <c r="G8" s="420"/>
      <c r="H8" s="420"/>
      <c r="I8" s="420"/>
      <c r="J8" s="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0" customFormat="1" ht="13.5" customHeight="1">
      <c r="A9" s="420"/>
      <c r="B9" s="420" t="s">
        <v>2</v>
      </c>
      <c r="C9" s="420"/>
      <c r="D9" s="420" t="s">
        <v>23</v>
      </c>
      <c r="E9" s="420"/>
      <c r="F9" s="420" t="s">
        <v>2</v>
      </c>
      <c r="G9" s="420"/>
      <c r="H9" s="420" t="s">
        <v>3</v>
      </c>
      <c r="I9" s="421"/>
      <c r="J9" s="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0" customFormat="1" ht="26.25" customHeight="1">
      <c r="A10" s="420"/>
      <c r="B10" s="420"/>
      <c r="C10" s="420"/>
      <c r="D10" s="420"/>
      <c r="E10" s="420"/>
      <c r="F10" s="420"/>
      <c r="G10" s="420"/>
      <c r="H10" s="421"/>
      <c r="I10" s="421"/>
      <c r="J10" s="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0" customFormat="1" ht="57" customHeight="1">
      <c r="A11" s="420"/>
      <c r="B11" s="19" t="s">
        <v>22</v>
      </c>
      <c r="C11" s="20" t="s">
        <v>4</v>
      </c>
      <c r="D11" s="19" t="s">
        <v>22</v>
      </c>
      <c r="E11" s="207" t="s">
        <v>5</v>
      </c>
      <c r="F11" s="19" t="s">
        <v>22</v>
      </c>
      <c r="G11" s="19" t="s">
        <v>4</v>
      </c>
      <c r="H11" s="19" t="s">
        <v>22</v>
      </c>
      <c r="I11" s="19" t="s">
        <v>6</v>
      </c>
      <c r="J11" s="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0" customFormat="1" ht="39" customHeight="1">
      <c r="A12" s="422" t="s">
        <v>24</v>
      </c>
      <c r="B12" s="423">
        <v>518.5</v>
      </c>
      <c r="C12" s="424" t="s">
        <v>277</v>
      </c>
      <c r="D12" s="23"/>
      <c r="E12" s="188"/>
      <c r="F12" s="25"/>
      <c r="G12" s="97"/>
      <c r="H12" s="26"/>
      <c r="I12" s="26"/>
      <c r="J12" s="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0" customFormat="1" ht="27" customHeight="1">
      <c r="A13" s="422"/>
      <c r="B13" s="423"/>
      <c r="C13" s="424"/>
      <c r="D13" s="23"/>
      <c r="E13" s="189"/>
      <c r="F13" s="25"/>
      <c r="G13" s="97"/>
      <c r="H13" s="26"/>
      <c r="I13" s="26"/>
      <c r="J13" s="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3" customFormat="1" ht="20.25" customHeight="1">
      <c r="A14" s="27" t="s">
        <v>19</v>
      </c>
      <c r="B14" s="48">
        <f>SUM(B12:B13)</f>
        <v>518.5</v>
      </c>
      <c r="C14" s="94"/>
      <c r="D14" s="29"/>
      <c r="E14" s="190"/>
      <c r="F14" s="31"/>
      <c r="G14" s="98"/>
      <c r="H14" s="27"/>
      <c r="I14" s="27"/>
      <c r="J14" s="11"/>
      <c r="K14" s="183"/>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10" customFormat="1" ht="50.25" customHeight="1">
      <c r="A15" s="44" t="s">
        <v>7</v>
      </c>
      <c r="B15" s="179">
        <v>190.5</v>
      </c>
      <c r="C15" s="40" t="s">
        <v>278</v>
      </c>
      <c r="D15" s="23"/>
      <c r="E15" s="119"/>
      <c r="F15" s="25"/>
      <c r="G15" s="97"/>
      <c r="H15" s="26"/>
      <c r="I15" s="26"/>
      <c r="J15" s="9"/>
      <c r="K15" s="18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3" customFormat="1" ht="22.5" customHeight="1">
      <c r="A16" s="27" t="s">
        <v>19</v>
      </c>
      <c r="B16" s="48">
        <f>SUM(B15)</f>
        <v>190.5</v>
      </c>
      <c r="C16" s="40"/>
      <c r="D16" s="191"/>
      <c r="E16" s="190"/>
      <c r="F16" s="31"/>
      <c r="G16" s="98"/>
      <c r="H16" s="27"/>
      <c r="I16" s="27"/>
      <c r="J16" s="11"/>
      <c r="K16" s="18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s="13" customFormat="1" ht="48.75" customHeight="1">
      <c r="A17" s="44" t="s">
        <v>32</v>
      </c>
      <c r="B17" s="179">
        <v>782.4</v>
      </c>
      <c r="C17" s="40" t="s">
        <v>77</v>
      </c>
      <c r="D17" s="21"/>
      <c r="E17" s="119"/>
      <c r="F17" s="36"/>
      <c r="G17" s="97"/>
      <c r="H17" s="27"/>
      <c r="I17" s="27"/>
      <c r="J17" s="11"/>
      <c r="K17" s="183"/>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s="13" customFormat="1" ht="25.5" customHeight="1">
      <c r="A18" s="27" t="s">
        <v>19</v>
      </c>
      <c r="B18" s="48">
        <f>SUM(B17)</f>
        <v>782.4</v>
      </c>
      <c r="C18" s="40"/>
      <c r="D18" s="29"/>
      <c r="E18" s="190"/>
      <c r="F18" s="37">
        <f>F17</f>
        <v>0</v>
      </c>
      <c r="G18" s="98"/>
      <c r="H18" s="27"/>
      <c r="I18" s="27"/>
      <c r="J18" s="11"/>
      <c r="K18" s="18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s="10" customFormat="1" ht="42" customHeight="1">
      <c r="A19" s="44" t="s">
        <v>55</v>
      </c>
      <c r="B19" s="179"/>
      <c r="C19" s="40"/>
      <c r="D19" s="192"/>
      <c r="E19" s="39"/>
      <c r="F19" s="25"/>
      <c r="G19" s="97"/>
      <c r="H19" s="26"/>
      <c r="I19" s="26"/>
      <c r="J19" s="9"/>
      <c r="K19" s="18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13" customFormat="1" ht="28.5" customHeight="1">
      <c r="A20" s="27" t="s">
        <v>20</v>
      </c>
      <c r="B20" s="48">
        <f>B19</f>
        <v>0</v>
      </c>
      <c r="C20" s="94"/>
      <c r="D20" s="23"/>
      <c r="E20" s="119"/>
      <c r="F20" s="31"/>
      <c r="G20" s="98"/>
      <c r="H20" s="27"/>
      <c r="I20" s="27"/>
      <c r="J20" s="11"/>
      <c r="K20" s="183"/>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s="10" customFormat="1" ht="45" customHeight="1">
      <c r="A21" s="44" t="s">
        <v>8</v>
      </c>
      <c r="B21" s="179">
        <v>427.5</v>
      </c>
      <c r="C21" s="40" t="s">
        <v>242</v>
      </c>
      <c r="D21" s="192"/>
      <c r="E21" s="39"/>
      <c r="F21" s="25"/>
      <c r="G21" s="97"/>
      <c r="H21" s="41"/>
      <c r="I21" s="97"/>
      <c r="J21" s="9"/>
      <c r="K21" s="18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13" customFormat="1" ht="22.5" customHeight="1">
      <c r="A22" s="27" t="s">
        <v>20</v>
      </c>
      <c r="B22" s="48">
        <f>B21</f>
        <v>427.5</v>
      </c>
      <c r="C22" s="40"/>
      <c r="D22" s="23"/>
      <c r="E22" s="119"/>
      <c r="F22" s="31"/>
      <c r="G22" s="98"/>
      <c r="H22" s="193"/>
      <c r="I22" s="27"/>
      <c r="J22" s="11"/>
      <c r="K22" s="183"/>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s="13" customFormat="1" ht="20.25" customHeight="1">
      <c r="A23" s="422" t="s">
        <v>9</v>
      </c>
      <c r="B23" s="425">
        <v>460</v>
      </c>
      <c r="C23" s="424" t="s">
        <v>242</v>
      </c>
      <c r="D23" s="428"/>
      <c r="E23" s="429"/>
      <c r="F23" s="430"/>
      <c r="G23" s="427"/>
      <c r="H23" s="426"/>
      <c r="I23" s="426"/>
      <c r="J23" s="11"/>
      <c r="K23" s="183"/>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s="13" customFormat="1" ht="31.5" customHeight="1">
      <c r="A24" s="422"/>
      <c r="B24" s="425"/>
      <c r="C24" s="424"/>
      <c r="D24" s="428"/>
      <c r="E24" s="429"/>
      <c r="F24" s="430"/>
      <c r="G24" s="427"/>
      <c r="H24" s="426"/>
      <c r="I24" s="426"/>
      <c r="J24" s="11"/>
      <c r="K24" s="183"/>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13" customFormat="1" ht="22.5" customHeight="1">
      <c r="A25" s="27" t="s">
        <v>20</v>
      </c>
      <c r="B25" s="48">
        <f>SUM(B23:B24)</f>
        <v>460</v>
      </c>
      <c r="C25" s="173"/>
      <c r="D25" s="23"/>
      <c r="E25" s="119"/>
      <c r="F25" s="74"/>
      <c r="G25" s="98"/>
      <c r="H25" s="60"/>
      <c r="I25" s="60"/>
      <c r="J25" s="11"/>
      <c r="K25" s="183"/>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s="10" customFormat="1" ht="38.25" customHeight="1">
      <c r="A26" s="44" t="s">
        <v>10</v>
      </c>
      <c r="B26" s="179"/>
      <c r="C26" s="173"/>
      <c r="D26" s="23"/>
      <c r="E26" s="119"/>
      <c r="F26" s="59"/>
      <c r="G26" s="97"/>
      <c r="H26" s="19"/>
      <c r="I26" s="19"/>
      <c r="J26" s="9"/>
      <c r="K26" s="18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13" customFormat="1" ht="16.5" customHeight="1">
      <c r="A27" s="27" t="s">
        <v>20</v>
      </c>
      <c r="B27" s="48">
        <f>SUM(B26)</f>
        <v>0</v>
      </c>
      <c r="C27" s="173"/>
      <c r="D27" s="23"/>
      <c r="E27" s="119"/>
      <c r="F27" s="57"/>
      <c r="G27" s="98"/>
      <c r="H27" s="60"/>
      <c r="I27" s="60"/>
      <c r="J27" s="11"/>
      <c r="K27" s="183"/>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s="10" customFormat="1" ht="24.75" customHeight="1">
      <c r="A28" s="422" t="s">
        <v>11</v>
      </c>
      <c r="B28" s="423">
        <f>149.5+14120</f>
        <v>14269.5</v>
      </c>
      <c r="C28" s="424" t="s">
        <v>279</v>
      </c>
      <c r="D28" s="23"/>
      <c r="E28" s="119"/>
      <c r="F28" s="75"/>
      <c r="G28" s="97"/>
      <c r="H28" s="19"/>
      <c r="I28" s="19"/>
      <c r="J28" s="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10" customFormat="1" ht="90.75" customHeight="1">
      <c r="A29" s="422"/>
      <c r="B29" s="423"/>
      <c r="C29" s="424"/>
      <c r="D29" s="23"/>
      <c r="E29" s="119"/>
      <c r="F29" s="75"/>
      <c r="G29" s="97"/>
      <c r="H29" s="19"/>
      <c r="I29" s="19"/>
      <c r="J29" s="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13" customFormat="1" ht="21.75" customHeight="1">
      <c r="A30" s="27" t="s">
        <v>20</v>
      </c>
      <c r="B30" s="48">
        <f>SUM(B28:B29)</f>
        <v>14269.5</v>
      </c>
      <c r="C30" s="94"/>
      <c r="D30" s="19"/>
      <c r="E30" s="43"/>
      <c r="F30" s="74"/>
      <c r="G30" s="98"/>
      <c r="H30" s="60"/>
      <c r="I30" s="60"/>
      <c r="J30" s="11"/>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s="10" customFormat="1" ht="15.75" customHeight="1">
      <c r="A31" s="422" t="s">
        <v>49</v>
      </c>
      <c r="B31" s="423"/>
      <c r="C31" s="431"/>
      <c r="D31" s="23"/>
      <c r="E31" s="119"/>
      <c r="F31" s="75"/>
      <c r="G31" s="97"/>
      <c r="H31" s="19"/>
      <c r="I31" s="19"/>
      <c r="J31" s="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10" customFormat="1" ht="24.75" customHeight="1">
      <c r="A32" s="422"/>
      <c r="B32" s="423"/>
      <c r="C32" s="432"/>
      <c r="D32" s="23"/>
      <c r="E32" s="119"/>
      <c r="F32" s="75"/>
      <c r="G32" s="97"/>
      <c r="H32" s="19"/>
      <c r="I32" s="19"/>
      <c r="J32" s="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13" customFormat="1" ht="24.75" customHeight="1">
      <c r="A33" s="27" t="s">
        <v>20</v>
      </c>
      <c r="B33" s="48">
        <f>SUM(B31:B32)</f>
        <v>0</v>
      </c>
      <c r="C33" s="433"/>
      <c r="D33" s="19"/>
      <c r="E33" s="43"/>
      <c r="F33" s="74"/>
      <c r="G33" s="98"/>
      <c r="H33" s="60"/>
      <c r="I33" s="60"/>
      <c r="J33" s="11"/>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s="10" customFormat="1" ht="52.5" customHeight="1">
      <c r="A34" s="44" t="s">
        <v>12</v>
      </c>
      <c r="B34" s="179">
        <f>272</f>
        <v>272</v>
      </c>
      <c r="C34" s="40" t="s">
        <v>280</v>
      </c>
      <c r="D34" s="19"/>
      <c r="E34" s="43"/>
      <c r="F34" s="59"/>
      <c r="G34" s="97"/>
      <c r="H34" s="19"/>
      <c r="I34" s="19"/>
      <c r="J34" s="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13" customFormat="1" ht="23.25" customHeight="1">
      <c r="A35" s="27" t="s">
        <v>20</v>
      </c>
      <c r="B35" s="48">
        <f>SUM(B34)</f>
        <v>272</v>
      </c>
      <c r="C35" s="40"/>
      <c r="D35" s="44"/>
      <c r="E35" s="45"/>
      <c r="F35" s="74"/>
      <c r="G35" s="98"/>
      <c r="H35" s="60"/>
      <c r="I35" s="60"/>
      <c r="J35" s="11"/>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s="10" customFormat="1" ht="42.75" customHeight="1">
      <c r="A36" s="44" t="s">
        <v>21</v>
      </c>
      <c r="B36" s="179">
        <v>360</v>
      </c>
      <c r="C36" s="431" t="s">
        <v>77</v>
      </c>
      <c r="D36" s="44"/>
      <c r="E36" s="43"/>
      <c r="F36" s="59"/>
      <c r="G36" s="97"/>
      <c r="H36" s="19"/>
      <c r="I36" s="19"/>
      <c r="J36" s="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13" customFormat="1" ht="24.75" customHeight="1">
      <c r="A37" s="27" t="s">
        <v>20</v>
      </c>
      <c r="B37" s="48">
        <f>SUM(B36:B36)</f>
        <v>360</v>
      </c>
      <c r="C37" s="433"/>
      <c r="D37" s="19"/>
      <c r="E37" s="43"/>
      <c r="F37" s="74"/>
      <c r="G37" s="98"/>
      <c r="H37" s="60"/>
      <c r="I37" s="60"/>
      <c r="J37" s="11"/>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s="10" customFormat="1" ht="54" customHeight="1">
      <c r="A38" s="44" t="s">
        <v>13</v>
      </c>
      <c r="B38" s="179">
        <v>670</v>
      </c>
      <c r="C38" s="40" t="s">
        <v>77</v>
      </c>
      <c r="D38" s="44"/>
      <c r="E38" s="43"/>
      <c r="F38" s="43"/>
      <c r="G38" s="97"/>
      <c r="H38" s="19"/>
      <c r="I38" s="19"/>
      <c r="J38" s="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row>
    <row r="39" spans="1:114" s="13" customFormat="1" ht="22.5" customHeight="1">
      <c r="A39" s="27" t="s">
        <v>20</v>
      </c>
      <c r="B39" s="48">
        <f>SUM(B38)</f>
        <v>670</v>
      </c>
      <c r="C39" s="40"/>
      <c r="D39" s="44"/>
      <c r="E39" s="43"/>
      <c r="F39" s="74"/>
      <c r="G39" s="98"/>
      <c r="H39" s="60"/>
      <c r="I39" s="60"/>
      <c r="J39" s="11"/>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10" customFormat="1" ht="48.75" customHeight="1">
      <c r="A40" s="44" t="s">
        <v>14</v>
      </c>
      <c r="B40" s="179"/>
      <c r="C40" s="173"/>
      <c r="D40" s="44"/>
      <c r="E40" s="43"/>
      <c r="F40" s="43"/>
      <c r="G40" s="97"/>
      <c r="H40" s="19"/>
      <c r="I40" s="19"/>
      <c r="J40" s="9"/>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row>
    <row r="41" spans="1:114" s="13" customFormat="1" ht="19.5" customHeight="1">
      <c r="A41" s="27" t="s">
        <v>20</v>
      </c>
      <c r="B41" s="48">
        <f>SUM(B40:B40)</f>
        <v>0</v>
      </c>
      <c r="C41" s="173"/>
      <c r="D41" s="44"/>
      <c r="E41" s="43"/>
      <c r="F41" s="74">
        <f>F40</f>
        <v>0</v>
      </c>
      <c r="G41" s="98"/>
      <c r="H41" s="60"/>
      <c r="I41" s="60"/>
      <c r="J41" s="11"/>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s="10" customFormat="1" ht="47.25" customHeight="1">
      <c r="A42" s="44" t="s">
        <v>15</v>
      </c>
      <c r="B42" s="179">
        <v>664</v>
      </c>
      <c r="C42" s="40" t="s">
        <v>77</v>
      </c>
      <c r="D42" s="44"/>
      <c r="E42" s="45"/>
      <c r="F42" s="43"/>
      <c r="G42" s="97"/>
      <c r="H42" s="19"/>
      <c r="I42" s="19"/>
      <c r="J42" s="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row>
    <row r="43" spans="1:114" s="13" customFormat="1" ht="21.75" customHeight="1">
      <c r="A43" s="27" t="s">
        <v>20</v>
      </c>
      <c r="B43" s="48">
        <f>SUM(B42:B42)</f>
        <v>664</v>
      </c>
      <c r="C43" s="40"/>
      <c r="D43" s="44"/>
      <c r="E43" s="45"/>
      <c r="F43" s="74"/>
      <c r="G43" s="98"/>
      <c r="H43" s="60"/>
      <c r="I43" s="60"/>
      <c r="J43" s="11"/>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s="10" customFormat="1" ht="58.5" customHeight="1">
      <c r="A44" s="44" t="s">
        <v>16</v>
      </c>
      <c r="B44" s="179">
        <v>12520</v>
      </c>
      <c r="C44" s="424" t="s">
        <v>281</v>
      </c>
      <c r="D44" s="44"/>
      <c r="E44" s="45"/>
      <c r="F44" s="43"/>
      <c r="G44" s="97"/>
      <c r="H44" s="19"/>
      <c r="I44" s="19"/>
      <c r="J44" s="9"/>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row>
    <row r="45" spans="1:114" s="13" customFormat="1" ht="20.25" customHeight="1">
      <c r="A45" s="27" t="s">
        <v>20</v>
      </c>
      <c r="B45" s="194">
        <f>SUM(B44:B44)</f>
        <v>12520</v>
      </c>
      <c r="C45" s="424"/>
      <c r="D45" s="44"/>
      <c r="E45" s="45"/>
      <c r="F45" s="74">
        <f>F44</f>
        <v>0</v>
      </c>
      <c r="G45" s="98"/>
      <c r="H45" s="60"/>
      <c r="I45" s="60"/>
      <c r="J45" s="11"/>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s="10" customFormat="1" ht="40.5" customHeight="1">
      <c r="A46" s="44" t="s">
        <v>17</v>
      </c>
      <c r="B46" s="179">
        <v>226</v>
      </c>
      <c r="C46" s="424" t="s">
        <v>77</v>
      </c>
      <c r="D46" s="19"/>
      <c r="E46" s="45"/>
      <c r="F46" s="43"/>
      <c r="G46" s="97"/>
      <c r="H46" s="19"/>
      <c r="I46" s="19"/>
      <c r="J46" s="9"/>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row>
    <row r="47" spans="1:114" s="13" customFormat="1" ht="24.75" customHeight="1">
      <c r="A47" s="27" t="s">
        <v>20</v>
      </c>
      <c r="B47" s="48">
        <f>SUM(B46:B46)</f>
        <v>226</v>
      </c>
      <c r="C47" s="424"/>
      <c r="D47" s="44"/>
      <c r="E47" s="43"/>
      <c r="F47" s="74"/>
      <c r="G47" s="98"/>
      <c r="H47" s="60"/>
      <c r="I47" s="60"/>
      <c r="J47" s="11"/>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s="10" customFormat="1" ht="43.5" customHeight="1">
      <c r="A48" s="44" t="s">
        <v>18</v>
      </c>
      <c r="B48" s="179">
        <v>150</v>
      </c>
      <c r="C48" s="424" t="s">
        <v>77</v>
      </c>
      <c r="D48" s="44"/>
      <c r="E48" s="43"/>
      <c r="F48" s="43"/>
      <c r="G48" s="97"/>
      <c r="H48" s="19"/>
      <c r="I48" s="19"/>
      <c r="J48" s="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row>
    <row r="49" spans="1:114" s="10" customFormat="1" ht="21.75" customHeight="1" thickBot="1">
      <c r="A49" s="27" t="s">
        <v>20</v>
      </c>
      <c r="B49" s="48">
        <f>SUM(B48:B48)</f>
        <v>150</v>
      </c>
      <c r="C49" s="424"/>
      <c r="D49" s="44"/>
      <c r="E49" s="43"/>
      <c r="F49" s="74">
        <f>F48</f>
        <v>0</v>
      </c>
      <c r="G49" s="97"/>
      <c r="H49" s="19"/>
      <c r="I49" s="19"/>
      <c r="J49" s="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row>
    <row r="50" spans="1:114" s="16" customFormat="1" ht="36.75" customHeight="1" thickBot="1">
      <c r="A50" s="195" t="s">
        <v>68</v>
      </c>
      <c r="B50" s="196">
        <f>SUM(B14+B16+B18+B20+B22+B25+B27+B30+B33+B35+B37+B39+B41+B43+B45+B47+B49)</f>
        <v>31510.4</v>
      </c>
      <c r="C50" s="96"/>
      <c r="D50" s="197"/>
      <c r="E50" s="61"/>
      <c r="F50" s="198">
        <f>F41+F49+F18+F45</f>
        <v>0</v>
      </c>
      <c r="G50" s="199"/>
      <c r="H50" s="57">
        <f>H22</f>
        <v>0</v>
      </c>
      <c r="I50" s="6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row>
    <row r="51" spans="1:114" s="10" customFormat="1" ht="32.25" customHeight="1">
      <c r="A51" s="26" t="s">
        <v>41</v>
      </c>
      <c r="B51" s="179"/>
      <c r="C51" s="424"/>
      <c r="D51" s="59"/>
      <c r="E51" s="44" t="s">
        <v>213</v>
      </c>
      <c r="F51" s="43"/>
      <c r="G51" s="97"/>
      <c r="H51" s="60"/>
      <c r="I51" s="60"/>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s="13" customFormat="1" ht="25.5" customHeight="1">
      <c r="A52" s="27" t="s">
        <v>20</v>
      </c>
      <c r="B52" s="48">
        <f>SUM(B51:B51)</f>
        <v>0</v>
      </c>
      <c r="C52" s="424"/>
      <c r="D52" s="57">
        <f>D51</f>
        <v>0</v>
      </c>
      <c r="E52" s="61"/>
      <c r="F52" s="74">
        <f>F51</f>
        <v>0</v>
      </c>
      <c r="G52" s="98"/>
      <c r="H52" s="60"/>
      <c r="I52" s="60"/>
      <c r="J52" s="11"/>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s="10" customFormat="1" ht="35.25" customHeight="1">
      <c r="A53" s="26" t="s">
        <v>56</v>
      </c>
      <c r="B53" s="179">
        <v>953</v>
      </c>
      <c r="C53" s="424" t="s">
        <v>77</v>
      </c>
      <c r="D53" s="59"/>
      <c r="E53" s="62"/>
      <c r="F53" s="43"/>
      <c r="G53" s="97"/>
      <c r="H53" s="60"/>
      <c r="I53" s="60"/>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s="13" customFormat="1" ht="26.25" customHeight="1">
      <c r="A54" s="27" t="s">
        <v>20</v>
      </c>
      <c r="B54" s="48">
        <f>SUM(B53:B53)</f>
        <v>953</v>
      </c>
      <c r="C54" s="424"/>
      <c r="D54" s="57">
        <f>D53</f>
        <v>0</v>
      </c>
      <c r="E54" s="61"/>
      <c r="F54" s="74">
        <f>F53</f>
        <v>0</v>
      </c>
      <c r="G54" s="98"/>
      <c r="H54" s="60"/>
      <c r="I54" s="60"/>
      <c r="J54" s="1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13" customFormat="1" ht="26.25" customHeight="1">
      <c r="A55" s="422" t="s">
        <v>39</v>
      </c>
      <c r="B55" s="425">
        <v>4164</v>
      </c>
      <c r="C55" s="40" t="s">
        <v>84</v>
      </c>
      <c r="D55" s="59"/>
      <c r="E55" s="45" t="s">
        <v>213</v>
      </c>
      <c r="F55" s="74"/>
      <c r="G55" s="98"/>
      <c r="H55" s="60"/>
      <c r="I55" s="60"/>
      <c r="J55" s="1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s="13" customFormat="1" ht="63.75" customHeight="1">
      <c r="A56" s="422"/>
      <c r="B56" s="425"/>
      <c r="C56" s="120" t="s">
        <v>282</v>
      </c>
      <c r="D56" s="166"/>
      <c r="E56" s="156"/>
      <c r="F56" s="43"/>
      <c r="G56" s="97"/>
      <c r="H56" s="60"/>
      <c r="I56" s="60"/>
      <c r="J56" s="11"/>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s="13" customFormat="1" ht="20.25" customHeight="1">
      <c r="A57" s="27" t="s">
        <v>20</v>
      </c>
      <c r="B57" s="48">
        <f>SUM(B55:B55)</f>
        <v>4164</v>
      </c>
      <c r="C57" s="94"/>
      <c r="D57" s="57">
        <f>SUM(D55:D56)</f>
        <v>0</v>
      </c>
      <c r="E57" s="61"/>
      <c r="F57" s="74">
        <f>F56</f>
        <v>0</v>
      </c>
      <c r="G57" s="98"/>
      <c r="H57" s="60"/>
      <c r="I57" s="60"/>
      <c r="J57" s="11"/>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s="10" customFormat="1" ht="38.25" customHeight="1">
      <c r="A58" s="44" t="s">
        <v>38</v>
      </c>
      <c r="B58" s="200"/>
      <c r="C58" s="169"/>
      <c r="D58" s="166"/>
      <c r="E58" s="78" t="s">
        <v>213</v>
      </c>
      <c r="F58" s="43"/>
      <c r="G58" s="97"/>
      <c r="H58" s="78"/>
      <c r="I58" s="1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s="13" customFormat="1" ht="19.5" customHeight="1">
      <c r="A59" s="27" t="s">
        <v>20</v>
      </c>
      <c r="B59" s="48">
        <f>SUM(B58:B58)</f>
        <v>0</v>
      </c>
      <c r="C59" s="94"/>
      <c r="D59" s="57">
        <f>D58</f>
        <v>0</v>
      </c>
      <c r="E59" s="86"/>
      <c r="F59" s="74">
        <f>F58</f>
        <v>0</v>
      </c>
      <c r="G59" s="98"/>
      <c r="H59" s="86"/>
      <c r="I59" s="6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13" customFormat="1" ht="42" customHeight="1">
      <c r="A60" s="44" t="s">
        <v>40</v>
      </c>
      <c r="B60" s="179"/>
      <c r="C60" s="40"/>
      <c r="D60" s="59"/>
      <c r="E60" s="78" t="s">
        <v>213</v>
      </c>
      <c r="F60" s="43"/>
      <c r="G60" s="97"/>
      <c r="H60" s="86"/>
      <c r="I60" s="60"/>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s="13" customFormat="1" ht="26.25" customHeight="1">
      <c r="A61" s="27" t="s">
        <v>20</v>
      </c>
      <c r="B61" s="48">
        <f>SUM(B60:B60)</f>
        <v>0</v>
      </c>
      <c r="C61" s="96"/>
      <c r="D61" s="61">
        <f>SUM(D60)</f>
        <v>0</v>
      </c>
      <c r="E61" s="61"/>
      <c r="F61" s="57">
        <f>F60</f>
        <v>0</v>
      </c>
      <c r="G61" s="98"/>
      <c r="H61" s="86"/>
      <c r="I61" s="6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1:114" s="13" customFormat="1" ht="243" customHeight="1">
      <c r="A62" s="444" t="s">
        <v>42</v>
      </c>
      <c r="B62" s="436">
        <v>6300</v>
      </c>
      <c r="C62" s="208" t="s">
        <v>285</v>
      </c>
      <c r="D62" s="45">
        <v>87904</v>
      </c>
      <c r="E62" s="45" t="s">
        <v>284</v>
      </c>
      <c r="F62" s="59"/>
      <c r="G62" s="97"/>
      <c r="H62" s="78"/>
      <c r="I62" s="19"/>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row>
    <row r="63" spans="1:114" s="13" customFormat="1" ht="30" customHeight="1">
      <c r="A63" s="445"/>
      <c r="B63" s="437"/>
      <c r="C63" s="40" t="s">
        <v>84</v>
      </c>
      <c r="D63" s="166"/>
      <c r="E63" s="45" t="s">
        <v>213</v>
      </c>
      <c r="F63" s="59"/>
      <c r="G63" s="97"/>
      <c r="H63" s="86"/>
      <c r="I63" s="60"/>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row>
    <row r="64" spans="1:114" s="13" customFormat="1" ht="24" customHeight="1">
      <c r="A64" s="27" t="s">
        <v>20</v>
      </c>
      <c r="B64" s="48">
        <f>SUM(B62:B63)</f>
        <v>6300</v>
      </c>
      <c r="C64" s="96"/>
      <c r="D64" s="57">
        <f>D63+D62</f>
        <v>87904</v>
      </c>
      <c r="E64" s="61"/>
      <c r="F64" s="57">
        <f>F63</f>
        <v>0</v>
      </c>
      <c r="G64" s="98"/>
      <c r="H64" s="86"/>
      <c r="I64" s="60"/>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row>
    <row r="65" spans="1:114" s="10" customFormat="1" ht="38.25" customHeight="1">
      <c r="A65" s="44" t="s">
        <v>29</v>
      </c>
      <c r="B65" s="179"/>
      <c r="C65" s="424"/>
      <c r="D65" s="45"/>
      <c r="E65" s="59" t="s">
        <v>213</v>
      </c>
      <c r="F65" s="45"/>
      <c r="G65" s="97"/>
      <c r="H65" s="43"/>
      <c r="I65" s="1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row>
    <row r="66" spans="1:114" s="13" customFormat="1" ht="24" customHeight="1">
      <c r="A66" s="27" t="s">
        <v>20</v>
      </c>
      <c r="B66" s="194">
        <f>SUM(B65:B65)</f>
        <v>0</v>
      </c>
      <c r="C66" s="424"/>
      <c r="D66" s="57">
        <f>SUM(D65)</f>
        <v>0</v>
      </c>
      <c r="E66" s="61"/>
      <c r="F66" s="57">
        <f>F65</f>
        <v>0</v>
      </c>
      <c r="G66" s="98"/>
      <c r="H66" s="74">
        <f>H65</f>
        <v>0</v>
      </c>
      <c r="I66" s="60"/>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row>
    <row r="67" spans="1:114" s="13" customFormat="1" ht="174.75" customHeight="1" hidden="1">
      <c r="A67" s="27" t="s">
        <v>20</v>
      </c>
      <c r="B67" s="48">
        <f>SUM(B65:B66)</f>
        <v>0</v>
      </c>
      <c r="C67" s="94"/>
      <c r="D67" s="61"/>
      <c r="E67" s="57"/>
      <c r="F67" s="61"/>
      <c r="G67" s="98"/>
      <c r="H67" s="86"/>
      <c r="I67" s="86"/>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row>
    <row r="68" spans="1:114" s="13" customFormat="1" ht="16.5" customHeight="1" hidden="1">
      <c r="A68" s="21" t="s">
        <v>37</v>
      </c>
      <c r="B68" s="47">
        <v>10999</v>
      </c>
      <c r="C68" s="40" t="s">
        <v>52</v>
      </c>
      <c r="D68" s="61"/>
      <c r="E68" s="57"/>
      <c r="F68" s="61"/>
      <c r="G68" s="98"/>
      <c r="H68" s="86"/>
      <c r="I68" s="86"/>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row>
    <row r="69" spans="1:114" s="10" customFormat="1" ht="17.25" customHeight="1" hidden="1">
      <c r="A69" s="21" t="s">
        <v>37</v>
      </c>
      <c r="B69" s="47">
        <v>1219</v>
      </c>
      <c r="C69" s="40" t="s">
        <v>43</v>
      </c>
      <c r="D69" s="45"/>
      <c r="E69" s="57"/>
      <c r="F69" s="45"/>
      <c r="G69" s="97"/>
      <c r="H69" s="78"/>
      <c r="I69" s="1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row>
    <row r="70" spans="1:114" s="13" customFormat="1" ht="16.5" customHeight="1" hidden="1">
      <c r="A70" s="27" t="s">
        <v>20</v>
      </c>
      <c r="B70" s="48">
        <f>SUM(B68:B69)</f>
        <v>12218</v>
      </c>
      <c r="C70" s="94"/>
      <c r="D70" s="61"/>
      <c r="E70" s="57"/>
      <c r="F70" s="61"/>
      <c r="G70" s="98"/>
      <c r="H70" s="86"/>
      <c r="I70" s="86"/>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row>
    <row r="71" spans="1:114" s="13" customFormat="1" ht="16.5" customHeight="1" hidden="1">
      <c r="A71" s="21" t="s">
        <v>30</v>
      </c>
      <c r="B71" s="181">
        <v>3133</v>
      </c>
      <c r="C71" s="40" t="s">
        <v>44</v>
      </c>
      <c r="D71" s="45"/>
      <c r="E71" s="57"/>
      <c r="F71" s="61"/>
      <c r="G71" s="98"/>
      <c r="H71" s="86"/>
      <c r="I71" s="8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row>
    <row r="72" spans="1:114" s="13" customFormat="1" ht="18.75" customHeight="1" hidden="1">
      <c r="A72" s="21" t="s">
        <v>30</v>
      </c>
      <c r="B72" s="181">
        <v>120</v>
      </c>
      <c r="C72" s="40" t="s">
        <v>36</v>
      </c>
      <c r="D72" s="45"/>
      <c r="E72" s="57"/>
      <c r="F72" s="61"/>
      <c r="G72" s="98"/>
      <c r="H72" s="86"/>
      <c r="I72" s="86"/>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row>
    <row r="73" spans="1:114" s="13" customFormat="1" ht="18.75" customHeight="1" hidden="1">
      <c r="A73" s="21" t="s">
        <v>30</v>
      </c>
      <c r="B73" s="181">
        <v>210</v>
      </c>
      <c r="C73" s="40" t="s">
        <v>36</v>
      </c>
      <c r="D73" s="45"/>
      <c r="E73" s="57"/>
      <c r="F73" s="61"/>
      <c r="G73" s="98"/>
      <c r="H73" s="86"/>
      <c r="I73" s="8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row>
    <row r="74" spans="1:114" s="13" customFormat="1" ht="16.5" customHeight="1" hidden="1">
      <c r="A74" s="27" t="s">
        <v>20</v>
      </c>
      <c r="B74" s="196">
        <f>SUM(B71:B73)</f>
        <v>3463</v>
      </c>
      <c r="C74" s="94"/>
      <c r="D74" s="61"/>
      <c r="E74" s="57"/>
      <c r="F74" s="61"/>
      <c r="G74" s="98"/>
      <c r="H74" s="86"/>
      <c r="I74" s="86"/>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row>
    <row r="75" spans="1:114" s="13" customFormat="1" ht="17.25" customHeight="1" hidden="1">
      <c r="A75" s="21" t="s">
        <v>31</v>
      </c>
      <c r="B75" s="201">
        <v>60</v>
      </c>
      <c r="C75" s="40" t="s">
        <v>48</v>
      </c>
      <c r="D75" s="201">
        <v>149639.87</v>
      </c>
      <c r="E75" s="62" t="s">
        <v>47</v>
      </c>
      <c r="F75" s="59"/>
      <c r="G75" s="98"/>
      <c r="H75" s="21"/>
      <c r="I75" s="86"/>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row>
    <row r="76" spans="1:114" s="13" customFormat="1" ht="17.25" customHeight="1" hidden="1">
      <c r="A76" s="21" t="s">
        <v>31</v>
      </c>
      <c r="B76" s="201">
        <v>3951.33</v>
      </c>
      <c r="C76" s="40" t="s">
        <v>51</v>
      </c>
      <c r="D76" s="201"/>
      <c r="E76" s="62"/>
      <c r="F76" s="59"/>
      <c r="G76" s="98"/>
      <c r="H76" s="21"/>
      <c r="I76" s="86"/>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row>
    <row r="77" spans="1:114" s="10" customFormat="1" ht="43.5" customHeight="1">
      <c r="A77" s="44" t="s">
        <v>37</v>
      </c>
      <c r="B77" s="179"/>
      <c r="C77" s="434"/>
      <c r="D77" s="45"/>
      <c r="E77" s="59" t="s">
        <v>213</v>
      </c>
      <c r="F77" s="45"/>
      <c r="G77" s="97"/>
      <c r="H77" s="78"/>
      <c r="I77" s="1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row>
    <row r="78" spans="1:114" s="13" customFormat="1" ht="21.75" customHeight="1">
      <c r="A78" s="27" t="s">
        <v>20</v>
      </c>
      <c r="B78" s="48">
        <f>SUM(B77:B77)</f>
        <v>0</v>
      </c>
      <c r="C78" s="434"/>
      <c r="D78" s="57">
        <f>SUM(D77)</f>
        <v>0</v>
      </c>
      <c r="E78" s="61"/>
      <c r="F78" s="57">
        <f>F77</f>
        <v>0</v>
      </c>
      <c r="G78" s="98"/>
      <c r="H78" s="86"/>
      <c r="I78" s="60"/>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row>
    <row r="79" spans="1:114" s="10" customFormat="1" ht="56.25" customHeight="1">
      <c r="A79" s="44" t="s">
        <v>30</v>
      </c>
      <c r="B79" s="179">
        <v>1350</v>
      </c>
      <c r="C79" s="40" t="s">
        <v>286</v>
      </c>
      <c r="D79" s="45"/>
      <c r="E79" s="59" t="s">
        <v>213</v>
      </c>
      <c r="F79" s="45"/>
      <c r="G79" s="97"/>
      <c r="H79" s="78"/>
      <c r="I79" s="1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row>
    <row r="80" spans="1:114" s="13" customFormat="1" ht="18" customHeight="1">
      <c r="A80" s="27" t="s">
        <v>20</v>
      </c>
      <c r="B80" s="48">
        <f>SUM(B79:B79)</f>
        <v>1350</v>
      </c>
      <c r="C80" s="96"/>
      <c r="D80" s="57">
        <f>D79</f>
        <v>0</v>
      </c>
      <c r="E80" s="61"/>
      <c r="F80" s="57">
        <f>F79</f>
        <v>0</v>
      </c>
      <c r="G80" s="98"/>
      <c r="H80" s="86"/>
      <c r="I80" s="60"/>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row>
    <row r="81" spans="1:114" s="10" customFormat="1" ht="39.75" customHeight="1">
      <c r="A81" s="44" t="s">
        <v>57</v>
      </c>
      <c r="B81" s="179"/>
      <c r="C81" s="40"/>
      <c r="D81" s="45"/>
      <c r="E81" s="59" t="s">
        <v>213</v>
      </c>
      <c r="F81" s="45"/>
      <c r="G81" s="97"/>
      <c r="H81" s="78"/>
      <c r="I81" s="1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row>
    <row r="82" spans="1:114" s="13" customFormat="1" ht="24" customHeight="1">
      <c r="A82" s="27" t="s">
        <v>20</v>
      </c>
      <c r="B82" s="48">
        <f>SUM(B81:B81)</f>
        <v>0</v>
      </c>
      <c r="C82" s="96"/>
      <c r="D82" s="57">
        <f>SUM(D81)</f>
        <v>0</v>
      </c>
      <c r="E82" s="61"/>
      <c r="F82" s="57">
        <f>F81</f>
        <v>0</v>
      </c>
      <c r="G82" s="98"/>
      <c r="H82" s="86"/>
      <c r="I82" s="60"/>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row>
    <row r="83" spans="1:114" s="13" customFormat="1" ht="22.5" customHeight="1">
      <c r="A83" s="422" t="s">
        <v>31</v>
      </c>
      <c r="B83" s="425">
        <f>1734.18+11907.9</f>
        <v>13642.08</v>
      </c>
      <c r="C83" s="40" t="s">
        <v>83</v>
      </c>
      <c r="D83" s="430"/>
      <c r="E83" s="41" t="s">
        <v>213</v>
      </c>
      <c r="F83" s="57"/>
      <c r="G83" s="98"/>
      <c r="H83" s="86"/>
      <c r="I83" s="60"/>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row>
    <row r="84" spans="1:114" s="10" customFormat="1" ht="49.5" customHeight="1">
      <c r="A84" s="422"/>
      <c r="B84" s="425"/>
      <c r="C84" s="424" t="s">
        <v>287</v>
      </c>
      <c r="D84" s="430"/>
      <c r="E84" s="209"/>
      <c r="F84" s="45"/>
      <c r="G84" s="97"/>
      <c r="H84" s="78"/>
      <c r="I84" s="1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row>
    <row r="85" spans="1:114" s="13" customFormat="1" ht="23.25" customHeight="1">
      <c r="A85" s="27" t="s">
        <v>20</v>
      </c>
      <c r="B85" s="194">
        <f>SUM(B83:B83)</f>
        <v>13642.08</v>
      </c>
      <c r="C85" s="424"/>
      <c r="D85" s="57">
        <f>D84+D83</f>
        <v>0</v>
      </c>
      <c r="E85" s="61"/>
      <c r="F85" s="57">
        <f>F84</f>
        <v>0</v>
      </c>
      <c r="G85" s="98"/>
      <c r="H85" s="86"/>
      <c r="I85" s="60"/>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row>
    <row r="86" spans="1:114" s="13" customFormat="1" ht="30.75" customHeight="1">
      <c r="A86" s="422" t="s">
        <v>58</v>
      </c>
      <c r="B86" s="436"/>
      <c r="C86" s="202" t="s">
        <v>83</v>
      </c>
      <c r="D86" s="59"/>
      <c r="E86" s="45" t="s">
        <v>213</v>
      </c>
      <c r="F86" s="57"/>
      <c r="G86" s="98"/>
      <c r="H86" s="86"/>
      <c r="I86" s="60"/>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row>
    <row r="87" spans="1:114" s="13" customFormat="1" ht="34.5" customHeight="1">
      <c r="A87" s="422"/>
      <c r="B87" s="437"/>
      <c r="C87" s="40"/>
      <c r="D87" s="181"/>
      <c r="E87" s="156"/>
      <c r="F87" s="59"/>
      <c r="G87" s="97"/>
      <c r="H87" s="21"/>
      <c r="I87" s="86"/>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row>
    <row r="88" spans="1:114" s="13" customFormat="1" ht="19.5" customHeight="1">
      <c r="A88" s="27" t="s">
        <v>20</v>
      </c>
      <c r="B88" s="203">
        <f>B86</f>
        <v>0</v>
      </c>
      <c r="C88" s="94"/>
      <c r="D88" s="203">
        <f>SUM(D86:D87)</f>
        <v>0</v>
      </c>
      <c r="E88" s="57"/>
      <c r="F88" s="61">
        <f>F87</f>
        <v>0</v>
      </c>
      <c r="G88" s="98"/>
      <c r="H88" s="86"/>
      <c r="I88" s="86"/>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row>
    <row r="89" spans="1:114" s="13" customFormat="1" ht="22.5" customHeight="1">
      <c r="A89" s="422" t="s">
        <v>33</v>
      </c>
      <c r="B89" s="438">
        <f>4740+5870+7945</f>
        <v>18555</v>
      </c>
      <c r="C89" s="202" t="s">
        <v>83</v>
      </c>
      <c r="D89" s="201"/>
      <c r="E89" s="45" t="s">
        <v>213</v>
      </c>
      <c r="F89" s="61"/>
      <c r="G89" s="98"/>
      <c r="H89" s="86"/>
      <c r="I89" s="86"/>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row>
    <row r="90" spans="1:114" s="13" customFormat="1" ht="141.75" customHeight="1">
      <c r="A90" s="422"/>
      <c r="B90" s="438"/>
      <c r="C90" s="40" t="s">
        <v>288</v>
      </c>
      <c r="D90" s="181"/>
      <c r="E90" s="44"/>
      <c r="F90" s="59"/>
      <c r="G90" s="97"/>
      <c r="H90" s="21"/>
      <c r="I90" s="86"/>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1:114" s="13" customFormat="1" ht="21" customHeight="1">
      <c r="A91" s="27" t="s">
        <v>20</v>
      </c>
      <c r="B91" s="203">
        <f>SUM(B89)</f>
        <v>18555</v>
      </c>
      <c r="C91" s="94"/>
      <c r="D91" s="203">
        <f>SUM(D89:D90)</f>
        <v>0</v>
      </c>
      <c r="E91" s="57"/>
      <c r="F91" s="61">
        <f>F90</f>
        <v>0</v>
      </c>
      <c r="G91" s="98"/>
      <c r="H91" s="86"/>
      <c r="I91" s="86"/>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1:114" s="13" customFormat="1" ht="33" customHeight="1">
      <c r="A92" s="422" t="s">
        <v>45</v>
      </c>
      <c r="B92" s="442"/>
      <c r="C92" s="202" t="s">
        <v>289</v>
      </c>
      <c r="D92" s="166"/>
      <c r="E92" s="156" t="s">
        <v>213</v>
      </c>
      <c r="F92" s="59"/>
      <c r="G92" s="97"/>
      <c r="H92" s="86"/>
      <c r="I92" s="86"/>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1:114" s="13" customFormat="1" ht="31.5" customHeight="1">
      <c r="A93" s="422"/>
      <c r="B93" s="443"/>
      <c r="C93" s="40"/>
      <c r="D93" s="166"/>
      <c r="F93" s="59"/>
      <c r="G93" s="97"/>
      <c r="H93" s="86"/>
      <c r="I93" s="86"/>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1:114" s="13" customFormat="1" ht="19.5" customHeight="1">
      <c r="A94" s="27" t="s">
        <v>20</v>
      </c>
      <c r="B94" s="196">
        <f>B93</f>
        <v>0</v>
      </c>
      <c r="C94" s="94"/>
      <c r="D94" s="61">
        <f>SUM(D92:D93)</f>
        <v>0</v>
      </c>
      <c r="E94" s="57"/>
      <c r="F94" s="61">
        <f>F93+F92</f>
        <v>0</v>
      </c>
      <c r="G94" s="98"/>
      <c r="H94" s="86"/>
      <c r="I94" s="86"/>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1:114" s="13" customFormat="1" ht="22.5" customHeight="1">
      <c r="A95" s="444" t="s">
        <v>59</v>
      </c>
      <c r="B95" s="442"/>
      <c r="C95" s="210" t="s">
        <v>83</v>
      </c>
      <c r="D95" s="181"/>
      <c r="E95" s="211" t="s">
        <v>213</v>
      </c>
      <c r="F95" s="59"/>
      <c r="G95" s="97"/>
      <c r="H95" s="86"/>
      <c r="I95" s="86"/>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1:114" s="13" customFormat="1" ht="27" customHeight="1">
      <c r="A96" s="445"/>
      <c r="B96" s="443"/>
      <c r="C96" s="210"/>
      <c r="D96" s="181"/>
      <c r="E96" s="211"/>
      <c r="F96" s="59"/>
      <c r="G96" s="97"/>
      <c r="H96" s="86"/>
      <c r="I96" s="86"/>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1:114" s="13" customFormat="1" ht="19.5" customHeight="1">
      <c r="A97" s="27" t="s">
        <v>20</v>
      </c>
      <c r="B97" s="196">
        <f>B95</f>
        <v>0</v>
      </c>
      <c r="C97" s="94"/>
      <c r="D97" s="61">
        <f>D95+D96</f>
        <v>0</v>
      </c>
      <c r="E97" s="59"/>
      <c r="F97" s="61">
        <f>F95</f>
        <v>0</v>
      </c>
      <c r="G97" s="98"/>
      <c r="H97" s="86"/>
      <c r="I97" s="8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row>
    <row r="98" spans="1:114" s="13" customFormat="1" ht="60" customHeight="1">
      <c r="A98" s="21" t="s">
        <v>50</v>
      </c>
      <c r="B98" s="181"/>
      <c r="C98" s="40"/>
      <c r="D98" s="181"/>
      <c r="E98" s="44" t="s">
        <v>213</v>
      </c>
      <c r="F98" s="59"/>
      <c r="G98" s="97"/>
      <c r="H98" s="86"/>
      <c r="I98" s="86"/>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row>
    <row r="99" spans="1:114" s="13" customFormat="1" ht="21.75" customHeight="1">
      <c r="A99" s="27" t="s">
        <v>20</v>
      </c>
      <c r="B99" s="196">
        <f>SUM(B98)</f>
        <v>0</v>
      </c>
      <c r="C99" s="94"/>
      <c r="D99" s="61">
        <f>D98</f>
        <v>0</v>
      </c>
      <c r="E99" s="59"/>
      <c r="F99" s="61">
        <f>F98</f>
        <v>0</v>
      </c>
      <c r="G99" s="98"/>
      <c r="H99" s="86"/>
      <c r="I99" s="86"/>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row>
    <row r="100" spans="1:114" s="13" customFormat="1" ht="35.25" customHeight="1">
      <c r="A100" s="44" t="s">
        <v>60</v>
      </c>
      <c r="B100" s="181"/>
      <c r="C100" s="40" t="s">
        <v>83</v>
      </c>
      <c r="D100" s="181">
        <v>720</v>
      </c>
      <c r="E100" s="44" t="s">
        <v>213</v>
      </c>
      <c r="F100" s="59"/>
      <c r="G100" s="97"/>
      <c r="H100" s="86"/>
      <c r="I100" s="86"/>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row>
    <row r="101" spans="1:114" s="13" customFormat="1" ht="20.25" customHeight="1">
      <c r="A101" s="27" t="s">
        <v>20</v>
      </c>
      <c r="B101" s="196">
        <f>SUM(B100)</f>
        <v>0</v>
      </c>
      <c r="C101" s="94"/>
      <c r="D101" s="61">
        <f>D100</f>
        <v>720</v>
      </c>
      <c r="E101" s="59"/>
      <c r="F101" s="61">
        <f>F100</f>
        <v>0</v>
      </c>
      <c r="G101" s="98"/>
      <c r="H101" s="86"/>
      <c r="I101" s="86"/>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row>
    <row r="102" spans="1:114" s="13" customFormat="1" ht="36" customHeight="1">
      <c r="A102" s="21" t="s">
        <v>61</v>
      </c>
      <c r="B102" s="166"/>
      <c r="C102" s="40" t="s">
        <v>36</v>
      </c>
      <c r="D102" s="166"/>
      <c r="E102" s="44" t="s">
        <v>213</v>
      </c>
      <c r="F102" s="59"/>
      <c r="G102" s="97"/>
      <c r="H102" s="86"/>
      <c r="I102" s="86"/>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1:114" s="13" customFormat="1" ht="19.5" customHeight="1">
      <c r="A103" s="27" t="s">
        <v>20</v>
      </c>
      <c r="B103" s="196">
        <f>B102</f>
        <v>0</v>
      </c>
      <c r="C103" s="94"/>
      <c r="D103" s="61">
        <f>D102</f>
        <v>0</v>
      </c>
      <c r="E103" s="59"/>
      <c r="F103" s="61">
        <f>F102</f>
        <v>0</v>
      </c>
      <c r="G103" s="98"/>
      <c r="H103" s="86"/>
      <c r="I103" s="86"/>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1:114" s="13" customFormat="1" ht="42.75" customHeight="1">
      <c r="A104" s="422" t="s">
        <v>62</v>
      </c>
      <c r="B104" s="438"/>
      <c r="C104" s="120"/>
      <c r="D104" s="61"/>
      <c r="E104" s="59"/>
      <c r="F104" s="61"/>
      <c r="G104" s="98"/>
      <c r="H104" s="86"/>
      <c r="I104" s="86"/>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1:114" s="13" customFormat="1" ht="30" customHeight="1">
      <c r="A105" s="422"/>
      <c r="B105" s="438"/>
      <c r="C105" s="40" t="s">
        <v>84</v>
      </c>
      <c r="D105" s="181"/>
      <c r="E105" s="44" t="s">
        <v>213</v>
      </c>
      <c r="F105" s="59"/>
      <c r="G105" s="97"/>
      <c r="H105" s="86"/>
      <c r="I105" s="86"/>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row>
    <row r="106" spans="1:114" s="13" customFormat="1" ht="21" customHeight="1">
      <c r="A106" s="27" t="s">
        <v>20</v>
      </c>
      <c r="B106" s="196">
        <f>SUM(B104)</f>
        <v>0</v>
      </c>
      <c r="C106" s="94"/>
      <c r="D106" s="61">
        <f>SUM(D105)</f>
        <v>0</v>
      </c>
      <c r="E106" s="57"/>
      <c r="F106" s="61">
        <f>F105</f>
        <v>0</v>
      </c>
      <c r="G106" s="98"/>
      <c r="H106" s="86"/>
      <c r="I106" s="86"/>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row>
    <row r="107" spans="1:114" s="13" customFormat="1" ht="30" customHeight="1">
      <c r="A107" s="444" t="s">
        <v>46</v>
      </c>
      <c r="B107" s="442"/>
      <c r="C107" s="202" t="s">
        <v>83</v>
      </c>
      <c r="D107" s="181"/>
      <c r="E107" s="44" t="s">
        <v>213</v>
      </c>
      <c r="F107" s="59"/>
      <c r="G107" s="97"/>
      <c r="H107" s="86"/>
      <c r="I107" s="86"/>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row>
    <row r="108" spans="1:114" s="13" customFormat="1" ht="225.75" customHeight="1">
      <c r="A108" s="445"/>
      <c r="B108" s="443"/>
      <c r="C108" s="212" t="s">
        <v>283</v>
      </c>
      <c r="D108" s="181">
        <v>87904</v>
      </c>
      <c r="E108" s="45" t="s">
        <v>284</v>
      </c>
      <c r="F108" s="59"/>
      <c r="G108" s="97"/>
      <c r="H108" s="86"/>
      <c r="I108" s="8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1:114" s="13" customFormat="1" ht="19.5" customHeight="1">
      <c r="A109" s="27" t="s">
        <v>20</v>
      </c>
      <c r="B109" s="196">
        <f>B107</f>
        <v>0</v>
      </c>
      <c r="C109" s="94"/>
      <c r="D109" s="61">
        <f>D108+D107</f>
        <v>87904</v>
      </c>
      <c r="E109" s="57"/>
      <c r="F109" s="61">
        <f>F107</f>
        <v>0</v>
      </c>
      <c r="G109" s="98"/>
      <c r="H109" s="86"/>
      <c r="I109" s="86"/>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1:114" s="13" customFormat="1" ht="20.25" customHeight="1">
      <c r="A110" s="444" t="s">
        <v>63</v>
      </c>
      <c r="B110" s="442">
        <f>4590+1649.91</f>
        <v>6239.91</v>
      </c>
      <c r="C110" s="40" t="s">
        <v>84</v>
      </c>
      <c r="D110" s="181"/>
      <c r="E110" s="44" t="s">
        <v>213</v>
      </c>
      <c r="F110" s="59"/>
      <c r="G110" s="97"/>
      <c r="H110" s="86"/>
      <c r="I110" s="86"/>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1:114" s="13" customFormat="1" ht="65.25" customHeight="1">
      <c r="A111" s="445"/>
      <c r="B111" s="443"/>
      <c r="C111" s="40" t="s">
        <v>290</v>
      </c>
      <c r="D111" s="181"/>
      <c r="E111" s="44"/>
      <c r="F111" s="59"/>
      <c r="G111" s="97"/>
      <c r="H111" s="86"/>
      <c r="I111" s="86"/>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1:114" s="13" customFormat="1" ht="23.25" customHeight="1">
      <c r="A112" s="27" t="s">
        <v>20</v>
      </c>
      <c r="B112" s="196">
        <f>B110</f>
        <v>6239.91</v>
      </c>
      <c r="C112" s="94"/>
      <c r="D112" s="61">
        <f>SUM(D110)</f>
        <v>0</v>
      </c>
      <c r="E112" s="57"/>
      <c r="F112" s="61">
        <f>F110</f>
        <v>0</v>
      </c>
      <c r="G112" s="98"/>
      <c r="H112" s="86"/>
      <c r="I112" s="86"/>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1:114" s="13" customFormat="1" ht="43.5" customHeight="1">
      <c r="A113" s="21" t="s">
        <v>272</v>
      </c>
      <c r="B113" s="181"/>
      <c r="C113" s="40"/>
      <c r="D113" s="181"/>
      <c r="E113" s="157"/>
      <c r="F113" s="59"/>
      <c r="G113" s="98"/>
      <c r="H113" s="86"/>
      <c r="I113" s="8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1:114" s="13" customFormat="1" ht="16.5" customHeight="1">
      <c r="A114" s="27" t="s">
        <v>20</v>
      </c>
      <c r="B114" s="196">
        <f>B113</f>
        <v>0</v>
      </c>
      <c r="C114" s="94"/>
      <c r="D114" s="61">
        <f>D113</f>
        <v>0</v>
      </c>
      <c r="E114" s="57"/>
      <c r="F114" s="61"/>
      <c r="G114" s="98"/>
      <c r="H114" s="86"/>
      <c r="I114" s="8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1:114" s="13" customFormat="1" ht="19.5" customHeight="1">
      <c r="A115" s="21" t="s">
        <v>54</v>
      </c>
      <c r="B115" s="181"/>
      <c r="C115" s="40"/>
      <c r="D115" s="181"/>
      <c r="E115" s="62"/>
      <c r="F115" s="59"/>
      <c r="G115" s="98"/>
      <c r="H115" s="86"/>
      <c r="I115" s="86"/>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1:114" s="13" customFormat="1" ht="16.5" customHeight="1">
      <c r="A116" s="27" t="s">
        <v>20</v>
      </c>
      <c r="B116" s="196">
        <f>B115</f>
        <v>0</v>
      </c>
      <c r="C116" s="94"/>
      <c r="D116" s="60"/>
      <c r="E116" s="57"/>
      <c r="F116" s="61"/>
      <c r="G116" s="98"/>
      <c r="H116" s="86"/>
      <c r="I116" s="86"/>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1:114" s="13" customFormat="1" ht="19.5" customHeight="1">
      <c r="A117" s="21" t="s">
        <v>66</v>
      </c>
      <c r="B117" s="181"/>
      <c r="C117" s="40"/>
      <c r="D117" s="181"/>
      <c r="E117" s="62"/>
      <c r="F117" s="59"/>
      <c r="G117" s="98"/>
      <c r="H117" s="86"/>
      <c r="I117" s="86"/>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row>
    <row r="118" spans="1:114" s="13" customFormat="1" ht="16.5" customHeight="1">
      <c r="A118" s="27" t="s">
        <v>20</v>
      </c>
      <c r="B118" s="196">
        <f>B117</f>
        <v>0</v>
      </c>
      <c r="C118" s="94"/>
      <c r="D118" s="60"/>
      <c r="E118" s="57"/>
      <c r="F118" s="61"/>
      <c r="G118" s="98"/>
      <c r="H118" s="86"/>
      <c r="I118" s="86"/>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1:114" s="13" customFormat="1" ht="19.5" customHeight="1">
      <c r="A119" s="21" t="s">
        <v>67</v>
      </c>
      <c r="B119" s="181"/>
      <c r="C119" s="40"/>
      <c r="D119" s="181"/>
      <c r="E119" s="62"/>
      <c r="F119" s="59"/>
      <c r="G119" s="98"/>
      <c r="H119" s="86"/>
      <c r="I119" s="86"/>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1:114" s="13" customFormat="1" ht="16.5" customHeight="1">
      <c r="A120" s="27" t="s">
        <v>20</v>
      </c>
      <c r="B120" s="196">
        <f>SUM(B119)</f>
        <v>0</v>
      </c>
      <c r="C120" s="94"/>
      <c r="D120" s="60"/>
      <c r="E120" s="57"/>
      <c r="F120" s="61"/>
      <c r="G120" s="98"/>
      <c r="H120" s="86"/>
      <c r="I120" s="86"/>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1:114" s="13" customFormat="1" ht="78" customHeight="1">
      <c r="A121" s="44" t="s">
        <v>64</v>
      </c>
      <c r="B121" s="181"/>
      <c r="C121" s="40"/>
      <c r="D121" s="181"/>
      <c r="E121" s="62"/>
      <c r="F121" s="59"/>
      <c r="G121" s="98"/>
      <c r="H121" s="86"/>
      <c r="I121" s="86"/>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1:114" s="13" customFormat="1" ht="18.75" customHeight="1">
      <c r="A122" s="27" t="s">
        <v>20</v>
      </c>
      <c r="B122" s="196">
        <f>B121</f>
        <v>0</v>
      </c>
      <c r="C122" s="94"/>
      <c r="D122" s="60"/>
      <c r="E122" s="57"/>
      <c r="F122" s="61"/>
      <c r="G122" s="98"/>
      <c r="H122" s="86"/>
      <c r="I122" s="86"/>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1:114" s="13" customFormat="1" ht="37.5" customHeight="1">
      <c r="A123" s="21" t="s">
        <v>56</v>
      </c>
      <c r="B123" s="181"/>
      <c r="C123" s="40"/>
      <c r="D123" s="181"/>
      <c r="E123" s="62"/>
      <c r="F123" s="59"/>
      <c r="G123" s="98"/>
      <c r="H123" s="86"/>
      <c r="I123" s="8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row>
    <row r="124" spans="1:114" s="13" customFormat="1" ht="37.5" customHeight="1">
      <c r="A124" s="180" t="s">
        <v>20</v>
      </c>
      <c r="B124" s="181"/>
      <c r="C124" s="40"/>
      <c r="D124" s="181"/>
      <c r="E124" s="62"/>
      <c r="F124" s="59"/>
      <c r="G124" s="98"/>
      <c r="H124" s="86"/>
      <c r="I124" s="86"/>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row>
    <row r="125" spans="1:114" s="13" customFormat="1" ht="97.5" customHeight="1">
      <c r="A125" s="21" t="s">
        <v>111</v>
      </c>
      <c r="B125" s="181"/>
      <c r="C125" s="40"/>
      <c r="D125" s="181"/>
      <c r="E125" s="62"/>
      <c r="F125" s="59"/>
      <c r="G125" s="98"/>
      <c r="H125" s="43"/>
      <c r="I125" s="9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row>
    <row r="126" spans="1:114" s="13" customFormat="1" ht="51" customHeight="1" thickBot="1">
      <c r="A126" s="27" t="s">
        <v>20</v>
      </c>
      <c r="B126" s="48"/>
      <c r="C126" s="94"/>
      <c r="D126" s="86"/>
      <c r="E126" s="57"/>
      <c r="F126" s="61"/>
      <c r="G126" s="98"/>
      <c r="H126" s="74">
        <f>H125</f>
        <v>0</v>
      </c>
      <c r="I126" s="86"/>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row>
    <row r="127" spans="1:114" s="18" customFormat="1" ht="77.25" customHeight="1" thickBot="1">
      <c r="A127" s="195" t="s">
        <v>70</v>
      </c>
      <c r="B127" s="196">
        <f>SUM(B52+B54+B57+B59+B61+B64+B66+B78+B80+B82+B85+B88+B91+B94+B97+B99+B101+B103+B106+B109+B112+B114+B116+B118+B120+B122+B126)</f>
        <v>51203.990000000005</v>
      </c>
      <c r="C127" s="196"/>
      <c r="D127" s="196">
        <f>SUM(D52+D54+D57+D59+D61+D64+D66+D78+D80+D82+D85+D88+D91+D94+D97+D99+D101+D103+D106+D109+D112+D114+D116+D118+D120+D122+D126)</f>
        <v>176528</v>
      </c>
      <c r="E127" s="196"/>
      <c r="F127" s="196">
        <f>F54+F59+F61+F64+F66+F78+F80+H113+F88+F91+F94+F97+F99+F101+F103+F106+F109+F112+F126+F57+F82+F85</f>
        <v>0</v>
      </c>
      <c r="G127" s="204"/>
      <c r="H127" s="196">
        <f>H66+H126</f>
        <v>0</v>
      </c>
      <c r="I127" s="196"/>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c r="DH127" s="187"/>
      <c r="DI127" s="187"/>
      <c r="DJ127" s="187"/>
    </row>
    <row r="128" spans="1:114" s="18" customFormat="1" ht="93.75" customHeight="1" thickBot="1">
      <c r="A128" s="27" t="s">
        <v>69</v>
      </c>
      <c r="B128" s="205">
        <f>SUM(B50+B127)</f>
        <v>82714.39000000001</v>
      </c>
      <c r="C128" s="205"/>
      <c r="D128" s="205">
        <f>D127+D50</f>
        <v>176528</v>
      </c>
      <c r="E128" s="205"/>
      <c r="F128" s="205">
        <f>F50+F127</f>
        <v>0</v>
      </c>
      <c r="G128" s="206"/>
      <c r="H128" s="205">
        <f>H50+H127</f>
        <v>0</v>
      </c>
      <c r="I128" s="205"/>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row>
    <row r="129" spans="1:114" s="8" customFormat="1" ht="9.75" customHeight="1">
      <c r="A129" s="90"/>
      <c r="B129" s="90"/>
      <c r="C129" s="90"/>
      <c r="D129" s="88"/>
      <c r="E129" s="89"/>
      <c r="F129" s="88"/>
      <c r="G129" s="88"/>
      <c r="H129" s="71"/>
      <c r="I129" s="71"/>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row>
    <row r="130" spans="1:114" s="8" customFormat="1" ht="24" customHeight="1">
      <c r="A130" s="89" t="s">
        <v>93</v>
      </c>
      <c r="B130" s="89"/>
      <c r="C130" s="89"/>
      <c r="D130" s="88"/>
      <c r="E130" s="89"/>
      <c r="F130" s="88"/>
      <c r="G130" s="89" t="s">
        <v>95</v>
      </c>
      <c r="H130" s="71"/>
      <c r="I130" s="71"/>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row>
    <row r="131" spans="1:9" ht="15.75" customHeight="1">
      <c r="A131" s="90"/>
      <c r="B131" s="90"/>
      <c r="C131" s="91"/>
      <c r="D131" s="92"/>
      <c r="E131" s="93"/>
      <c r="F131" s="90"/>
      <c r="G131" s="90"/>
      <c r="H131" s="73"/>
      <c r="I131" s="73"/>
    </row>
    <row r="132" spans="1:9" ht="20.25" customHeight="1">
      <c r="A132" s="90" t="s">
        <v>35</v>
      </c>
      <c r="B132" s="90"/>
      <c r="C132" s="91"/>
      <c r="D132" s="92"/>
      <c r="E132" s="93"/>
      <c r="F132" s="90"/>
      <c r="G132" s="90" t="s">
        <v>106</v>
      </c>
      <c r="H132" s="73"/>
      <c r="I132" s="73"/>
    </row>
    <row r="133" spans="1:9" ht="14.25" customHeight="1">
      <c r="A133" s="91"/>
      <c r="B133" s="92"/>
      <c r="C133" s="91"/>
      <c r="D133" s="92"/>
      <c r="E133" s="90"/>
      <c r="F133" s="92"/>
      <c r="G133" s="92"/>
      <c r="H133" s="73"/>
      <c r="I133" s="73"/>
    </row>
    <row r="134" spans="1:9" ht="20.25" customHeight="1">
      <c r="A134" s="91" t="s">
        <v>228</v>
      </c>
      <c r="B134" s="92"/>
      <c r="C134" s="91"/>
      <c r="D134" s="92"/>
      <c r="E134" s="90"/>
      <c r="F134" s="92"/>
      <c r="G134" s="92"/>
      <c r="H134" s="73"/>
      <c r="I134" s="73"/>
    </row>
    <row r="135" spans="1:9" ht="20.25" customHeight="1">
      <c r="A135" s="91" t="s">
        <v>229</v>
      </c>
      <c r="B135" s="92"/>
      <c r="C135" s="91"/>
      <c r="D135" s="92"/>
      <c r="E135" s="90"/>
      <c r="F135" s="92"/>
      <c r="G135" s="92"/>
      <c r="H135" s="73"/>
      <c r="I135" s="73"/>
    </row>
    <row r="136" spans="1:9" ht="12" customHeight="1">
      <c r="A136" s="2"/>
      <c r="B136" s="2"/>
      <c r="C136" s="6"/>
      <c r="D136" s="2"/>
      <c r="E136" s="2"/>
      <c r="F136" s="2"/>
      <c r="G136" s="2"/>
      <c r="H136" s="2"/>
      <c r="I136" s="2"/>
    </row>
    <row r="137" spans="1:9" ht="15">
      <c r="A137" s="2"/>
      <c r="B137" s="2"/>
      <c r="C137" s="6"/>
      <c r="D137" s="2"/>
      <c r="E137" s="2"/>
      <c r="F137" s="2"/>
      <c r="G137" s="2"/>
      <c r="H137" s="2"/>
      <c r="I137" s="2"/>
    </row>
    <row r="138" spans="1:9" ht="15">
      <c r="A138" s="3"/>
      <c r="B138" s="2"/>
      <c r="C138" s="6"/>
      <c r="D138" s="2"/>
      <c r="E138" s="2"/>
      <c r="F138" s="2"/>
      <c r="G138" s="2"/>
      <c r="H138" s="2"/>
      <c r="I138" s="2"/>
    </row>
  </sheetData>
  <sheetProtection/>
  <mergeCells count="59">
    <mergeCell ref="A110:A111"/>
    <mergeCell ref="B110:B111"/>
    <mergeCell ref="A86:A87"/>
    <mergeCell ref="B86:B87"/>
    <mergeCell ref="A89:A90"/>
    <mergeCell ref="B89:B90"/>
    <mergeCell ref="A92:A93"/>
    <mergeCell ref="A104:A105"/>
    <mergeCell ref="A107:A108"/>
    <mergeCell ref="B107:B108"/>
    <mergeCell ref="B104:B105"/>
    <mergeCell ref="B92:B93"/>
    <mergeCell ref="A95:A96"/>
    <mergeCell ref="B95:B96"/>
    <mergeCell ref="A55:A56"/>
    <mergeCell ref="B55:B56"/>
    <mergeCell ref="C65:C66"/>
    <mergeCell ref="B62:B63"/>
    <mergeCell ref="A62:A63"/>
    <mergeCell ref="A83:A84"/>
    <mergeCell ref="B83:B84"/>
    <mergeCell ref="D83:D84"/>
    <mergeCell ref="C84:C85"/>
    <mergeCell ref="C48:C49"/>
    <mergeCell ref="C51:C52"/>
    <mergeCell ref="C53:C54"/>
    <mergeCell ref="C77:C78"/>
    <mergeCell ref="A31:A32"/>
    <mergeCell ref="B31:B32"/>
    <mergeCell ref="C31:C33"/>
    <mergeCell ref="C36:C37"/>
    <mergeCell ref="C44:C45"/>
    <mergeCell ref="C46:C47"/>
    <mergeCell ref="A28:A29"/>
    <mergeCell ref="B28:B29"/>
    <mergeCell ref="C28:C29"/>
    <mergeCell ref="D23:D24"/>
    <mergeCell ref="E23:E24"/>
    <mergeCell ref="F23:F24"/>
    <mergeCell ref="H9:I10"/>
    <mergeCell ref="A12:A13"/>
    <mergeCell ref="B12:B13"/>
    <mergeCell ref="C12:C13"/>
    <mergeCell ref="A23:A24"/>
    <mergeCell ref="B23:B24"/>
    <mergeCell ref="C23:C24"/>
    <mergeCell ref="H23:H24"/>
    <mergeCell ref="I23:I24"/>
    <mergeCell ref="G23:G24"/>
    <mergeCell ref="G4:I4"/>
    <mergeCell ref="A5:I5"/>
    <mergeCell ref="A6:I6"/>
    <mergeCell ref="A7:I7"/>
    <mergeCell ref="A8:A11"/>
    <mergeCell ref="B8:E8"/>
    <mergeCell ref="F8:I8"/>
    <mergeCell ref="B9:C10"/>
    <mergeCell ref="D9:E10"/>
    <mergeCell ref="F9:G10"/>
  </mergeCells>
  <printOptions/>
  <pageMargins left="0.7874015748031497" right="0.3937007874015748" top="0.3937007874015748" bottom="0.3937007874015748"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DJ188"/>
  <sheetViews>
    <sheetView zoomScalePageLayoutView="0" workbookViewId="0" topLeftCell="A84">
      <selection activeCell="A104" sqref="A1:IV16384"/>
    </sheetView>
  </sheetViews>
  <sheetFormatPr defaultColWidth="25.7109375" defaultRowHeight="15"/>
  <cols>
    <col min="1" max="1" width="14.28125" style="4" customWidth="1"/>
    <col min="2" max="2" width="12.57421875" style="226" customWidth="1"/>
    <col min="3" max="3" width="34.421875" style="226" customWidth="1"/>
    <col min="4" max="4" width="11.57421875" style="275" customWidth="1"/>
    <col min="5" max="5" width="22.7109375" style="226" customWidth="1"/>
    <col min="6" max="6" width="9.28125" style="4" customWidth="1"/>
    <col min="7" max="7" width="8.8515625" style="4" customWidth="1"/>
    <col min="8" max="8" width="9.28125" style="4" customWidth="1"/>
    <col min="9" max="9" width="10.42187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435</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375</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33.75" customHeight="1">
      <c r="A15" s="365" t="s">
        <v>376</v>
      </c>
      <c r="B15" s="359">
        <f>776.6+847.8+13872</f>
        <v>15496.4</v>
      </c>
      <c r="C15" s="361" t="s">
        <v>384</v>
      </c>
      <c r="D15" s="262">
        <v>783</v>
      </c>
      <c r="E15" s="276" t="s">
        <v>373</v>
      </c>
      <c r="F15" s="236"/>
      <c r="G15" s="230"/>
      <c r="H15" s="228"/>
      <c r="I15" s="213"/>
      <c r="J15" s="235"/>
      <c r="K15" s="246"/>
    </row>
    <row r="16" spans="1:11" ht="13.5" customHeight="1">
      <c r="A16" s="365"/>
      <c r="B16" s="360"/>
      <c r="C16" s="362"/>
      <c r="D16" s="262"/>
      <c r="E16" s="261"/>
      <c r="F16" s="236"/>
      <c r="G16" s="230"/>
      <c r="H16" s="228"/>
      <c r="I16" s="228"/>
      <c r="J16" s="235"/>
      <c r="K16" s="246"/>
    </row>
    <row r="17" spans="1:114" s="245" customFormat="1" ht="22.5" customHeight="1">
      <c r="A17" s="229" t="s">
        <v>19</v>
      </c>
      <c r="B17" s="238">
        <f>SUM(B15)</f>
        <v>15496.4</v>
      </c>
      <c r="C17" s="215"/>
      <c r="D17" s="266">
        <f>D16+D15</f>
        <v>783</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65" t="s">
        <v>377</v>
      </c>
      <c r="B18" s="306">
        <v>670</v>
      </c>
      <c r="C18" s="215" t="s">
        <v>417</v>
      </c>
      <c r="D18" s="214">
        <v>11557.3</v>
      </c>
      <c r="E18" s="313" t="s">
        <v>412</v>
      </c>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365"/>
      <c r="B19" s="238">
        <f>SUM(B18)</f>
        <v>670</v>
      </c>
      <c r="C19" s="303"/>
      <c r="D19" s="279">
        <f>D18</f>
        <v>11557.3</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32.25" customHeight="1">
      <c r="A20" s="366" t="s">
        <v>378</v>
      </c>
      <c r="B20" s="359">
        <f>537+3249.47+3550</f>
        <v>7336.469999999999</v>
      </c>
      <c r="C20" s="361" t="s">
        <v>367</v>
      </c>
      <c r="D20" s="214"/>
      <c r="E20" s="276"/>
      <c r="F20" s="236"/>
      <c r="G20" s="230"/>
      <c r="H20" s="228"/>
      <c r="I20" s="213"/>
      <c r="J20" s="235"/>
      <c r="K20" s="246"/>
    </row>
    <row r="21" spans="1:11" ht="33.75" customHeight="1">
      <c r="A21" s="367"/>
      <c r="B21" s="360"/>
      <c r="C21" s="416"/>
      <c r="D21" s="249"/>
      <c r="E21" s="261"/>
      <c r="F21" s="236"/>
      <c r="G21" s="230"/>
      <c r="H21" s="228"/>
      <c r="I21" s="228"/>
      <c r="J21" s="235"/>
      <c r="K21" s="246"/>
    </row>
    <row r="22" spans="1:114" s="245" customFormat="1" ht="28.5" customHeight="1">
      <c r="A22" s="229" t="s">
        <v>20</v>
      </c>
      <c r="B22" s="238">
        <f>B20</f>
        <v>7336.469999999999</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50.25" customHeight="1">
      <c r="A23" s="366" t="s">
        <v>379</v>
      </c>
      <c r="B23" s="359">
        <v>2940</v>
      </c>
      <c r="C23" s="361" t="s">
        <v>416</v>
      </c>
      <c r="D23" s="262">
        <v>610</v>
      </c>
      <c r="E23" s="313" t="s">
        <v>412</v>
      </c>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610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24" customHeight="1">
      <c r="A26" s="366" t="s">
        <v>380</v>
      </c>
      <c r="B26" s="359">
        <v>697</v>
      </c>
      <c r="C26" s="361" t="s">
        <v>418</v>
      </c>
      <c r="D26" s="357">
        <v>23114.6</v>
      </c>
      <c r="E26" s="415" t="s">
        <v>412</v>
      </c>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415"/>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23114.6</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381</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80.25" customHeight="1">
      <c r="A33" s="365" t="s">
        <v>382</v>
      </c>
      <c r="B33" s="369">
        <f>24050+1000</f>
        <v>25050</v>
      </c>
      <c r="C33" s="370" t="s">
        <v>419</v>
      </c>
      <c r="D33" s="262">
        <v>783</v>
      </c>
      <c r="E33" s="214" t="s">
        <v>373</v>
      </c>
      <c r="F33" s="251"/>
      <c r="G33" s="230"/>
      <c r="H33" s="207"/>
      <c r="I33" s="207"/>
      <c r="J33" s="235"/>
    </row>
    <row r="34" spans="1:10" ht="37.5" customHeight="1">
      <c r="A34" s="365"/>
      <c r="B34" s="369"/>
      <c r="C34" s="370"/>
      <c r="D34" s="262">
        <v>17335.95</v>
      </c>
      <c r="E34" s="315" t="s">
        <v>412</v>
      </c>
      <c r="F34" s="251"/>
      <c r="G34" s="230"/>
      <c r="H34" s="207"/>
      <c r="I34" s="207"/>
      <c r="J34" s="235"/>
    </row>
    <row r="35" spans="1:114" s="245" customFormat="1" ht="27.75" customHeight="1">
      <c r="A35" s="229" t="s">
        <v>20</v>
      </c>
      <c r="B35" s="238">
        <f>SUM(B33:B34)</f>
        <v>25050</v>
      </c>
      <c r="C35" s="146"/>
      <c r="D35" s="221">
        <f>D34+D33</f>
        <v>18118.95</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3.25" customHeight="1">
      <c r="A36" s="365" t="s">
        <v>383</v>
      </c>
      <c r="B36" s="369">
        <f>179.8+747</f>
        <v>926.8</v>
      </c>
      <c r="C36" s="361" t="s">
        <v>420</v>
      </c>
      <c r="D36" s="411">
        <v>23114.6</v>
      </c>
      <c r="E36" s="413" t="s">
        <v>412</v>
      </c>
      <c r="F36" s="251"/>
      <c r="G36" s="230"/>
      <c r="H36" s="207"/>
      <c r="I36" s="207"/>
      <c r="J36" s="235"/>
    </row>
    <row r="37" spans="1:10" ht="26.25" customHeight="1">
      <c r="A37" s="365"/>
      <c r="B37" s="369"/>
      <c r="C37" s="375"/>
      <c r="D37" s="412"/>
      <c r="E37" s="414"/>
      <c r="F37" s="251"/>
      <c r="G37" s="230"/>
      <c r="H37" s="207"/>
      <c r="I37" s="207"/>
      <c r="J37" s="235"/>
    </row>
    <row r="38" spans="1:114" s="245" customFormat="1" ht="36" customHeight="1">
      <c r="A38" s="229" t="s">
        <v>20</v>
      </c>
      <c r="B38" s="238">
        <f>SUM(B36:B37)</f>
        <v>926.8</v>
      </c>
      <c r="C38" s="362"/>
      <c r="D38" s="221">
        <f>D37+D36</f>
        <v>23114.6</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73.5"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757+675+552</f>
        <v>1984</v>
      </c>
      <c r="C42" s="361" t="s">
        <v>368</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1984</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421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40.5" customHeight="1">
      <c r="A46" s="367"/>
      <c r="B46" s="360"/>
      <c r="C46" s="362"/>
      <c r="D46" s="214">
        <v>17335.95</v>
      </c>
      <c r="E46" s="316" t="s">
        <v>412</v>
      </c>
      <c r="F46" s="152"/>
      <c r="G46" s="230"/>
      <c r="H46" s="207"/>
      <c r="I46" s="207"/>
      <c r="J46" s="235"/>
    </row>
    <row r="47" spans="1:114" s="245" customFormat="1" ht="31.5" customHeight="1">
      <c r="A47" s="229" t="s">
        <v>20</v>
      </c>
      <c r="B47" s="238">
        <f>SUM(B45)</f>
        <v>1330</v>
      </c>
      <c r="C47" s="215"/>
      <c r="D47" s="220">
        <f>D46+D45</f>
        <v>17339.95</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123047.21000000002</v>
      </c>
      <c r="C63" s="147"/>
      <c r="D63" s="254">
        <f>D62+D59+D56+D53+D50+D47+D44+D41+D38+D35+D32+D29+D25+D22+D19+D17+D14</f>
        <v>94638.40000000001</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v>1470</v>
      </c>
      <c r="C64" s="361" t="s">
        <v>372</v>
      </c>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1470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v>1040</v>
      </c>
      <c r="C67" s="361" t="s">
        <v>372</v>
      </c>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1040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33.75" customHeight="1">
      <c r="A70" s="365" t="s">
        <v>386</v>
      </c>
      <c r="B70" s="369">
        <f>1960</f>
        <v>1960</v>
      </c>
      <c r="C70" s="387" t="s">
        <v>423</v>
      </c>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55.5" customHeight="1">
      <c r="A71" s="365"/>
      <c r="B71" s="369"/>
      <c r="C71" s="388"/>
      <c r="D71" s="262">
        <v>163682.46</v>
      </c>
      <c r="E71" s="314" t="s">
        <v>404</v>
      </c>
      <c r="F71" s="384"/>
      <c r="G71" s="386"/>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365"/>
      <c r="B72" s="369"/>
      <c r="C72" s="388"/>
      <c r="D72" s="262">
        <v>75366</v>
      </c>
      <c r="E72" s="313" t="s">
        <v>407</v>
      </c>
      <c r="F72" s="384"/>
      <c r="G72" s="386"/>
      <c r="H72" s="162"/>
      <c r="I72" s="213"/>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7.75" customHeight="1">
      <c r="A73" s="365"/>
      <c r="B73" s="369"/>
      <c r="C73" s="388"/>
      <c r="D73" s="262">
        <f>3096.64+7215+1282</f>
        <v>11593.64</v>
      </c>
      <c r="E73" s="262" t="s">
        <v>422</v>
      </c>
      <c r="F73" s="384"/>
      <c r="G73" s="386"/>
      <c r="H73" s="162"/>
      <c r="I73" s="213"/>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5.5" customHeight="1">
      <c r="A74" s="365"/>
      <c r="B74" s="369"/>
      <c r="C74" s="388"/>
      <c r="D74" s="262">
        <v>25080</v>
      </c>
      <c r="E74" s="314" t="s">
        <v>408</v>
      </c>
      <c r="F74" s="384"/>
      <c r="G74" s="386"/>
      <c r="H74" s="162"/>
      <c r="I74" s="213"/>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114" s="245" customFormat="1" ht="25.5" customHeight="1">
      <c r="A75" s="365"/>
      <c r="B75" s="369"/>
      <c r="C75" s="388"/>
      <c r="D75" s="262">
        <v>109200</v>
      </c>
      <c r="E75" s="314" t="s">
        <v>409</v>
      </c>
      <c r="F75" s="384"/>
      <c r="G75" s="386"/>
      <c r="H75" s="162"/>
      <c r="I75" s="213"/>
      <c r="J75" s="242"/>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row>
    <row r="76" spans="1:114" s="245" customFormat="1" ht="24.75" customHeight="1">
      <c r="A76" s="365"/>
      <c r="B76" s="369"/>
      <c r="C76" s="389"/>
      <c r="D76" s="261">
        <v>783</v>
      </c>
      <c r="E76" s="276" t="s">
        <v>373</v>
      </c>
      <c r="F76" s="385"/>
      <c r="G76" s="377"/>
      <c r="H76" s="162"/>
      <c r="I76" s="213"/>
      <c r="J76" s="242"/>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7.75" customHeight="1">
      <c r="A77" s="229" t="s">
        <v>20</v>
      </c>
      <c r="B77" s="238">
        <f>B70</f>
        <v>1960</v>
      </c>
      <c r="C77" s="146"/>
      <c r="D77" s="220">
        <f>SUM(D70:D76)</f>
        <v>385709.1</v>
      </c>
      <c r="E77" s="221"/>
      <c r="F77" s="250">
        <f>F70</f>
        <v>0</v>
      </c>
      <c r="G77" s="240"/>
      <c r="H77" s="159">
        <f>SUM(H70:H76)</f>
        <v>0</v>
      </c>
      <c r="I77" s="231"/>
      <c r="J77" s="242"/>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4" customHeight="1">
      <c r="A78" s="366" t="s">
        <v>38</v>
      </c>
      <c r="B78" s="359">
        <v>1980</v>
      </c>
      <c r="C78" s="387" t="s">
        <v>387</v>
      </c>
      <c r="D78" s="214"/>
      <c r="E78" s="214"/>
      <c r="F78" s="383"/>
      <c r="G78" s="376"/>
      <c r="H78" s="159"/>
      <c r="I78" s="231"/>
      <c r="J78" s="242"/>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1.75" customHeight="1">
      <c r="A79" s="372"/>
      <c r="B79" s="373"/>
      <c r="C79" s="388"/>
      <c r="D79" s="261"/>
      <c r="E79" s="276"/>
      <c r="F79" s="384"/>
      <c r="G79" s="386"/>
      <c r="H79" s="207"/>
      <c r="I79" s="207"/>
      <c r="J79" s="242"/>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9" ht="2.25" customHeight="1" hidden="1">
      <c r="A80" s="367"/>
      <c r="B80" s="360"/>
      <c r="C80" s="389"/>
      <c r="D80" s="261"/>
      <c r="E80" s="287"/>
      <c r="F80" s="385"/>
      <c r="G80" s="377"/>
      <c r="H80" s="259"/>
      <c r="I80" s="207"/>
    </row>
    <row r="81" spans="1:114" s="245" customFormat="1" ht="19.5" customHeight="1">
      <c r="A81" s="229" t="s">
        <v>20</v>
      </c>
      <c r="B81" s="238">
        <f>SUM(B78:B78)</f>
        <v>1980</v>
      </c>
      <c r="C81" s="146"/>
      <c r="D81" s="308">
        <f>SUM(D78:D80)</f>
        <v>0</v>
      </c>
      <c r="E81" s="288"/>
      <c r="F81" s="250">
        <f>F78</f>
        <v>0</v>
      </c>
      <c r="G81" s="240"/>
      <c r="H81" s="158">
        <f>SUM(H79:H80)</f>
        <v>0</v>
      </c>
      <c r="I81" s="231"/>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38.25" customHeight="1">
      <c r="A82" s="366" t="s">
        <v>322</v>
      </c>
      <c r="B82" s="359"/>
      <c r="C82" s="387" t="s">
        <v>388</v>
      </c>
      <c r="D82" s="286">
        <v>783</v>
      </c>
      <c r="E82" s="214" t="s">
        <v>373</v>
      </c>
      <c r="F82" s="383"/>
      <c r="G82" s="376"/>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1.75" customHeight="1">
      <c r="A83" s="367"/>
      <c r="B83" s="360"/>
      <c r="C83" s="389"/>
      <c r="D83" s="261"/>
      <c r="E83" s="287"/>
      <c r="F83" s="385"/>
      <c r="G83" s="377"/>
      <c r="H83" s="260"/>
      <c r="I83" s="260"/>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114" s="245" customFormat="1" ht="26.25" customHeight="1">
      <c r="A84" s="229" t="s">
        <v>20</v>
      </c>
      <c r="B84" s="238">
        <f>SUM(B82:B83)</f>
        <v>0</v>
      </c>
      <c r="C84" s="147"/>
      <c r="D84" s="221">
        <f>SUM(D82:D83)</f>
        <v>783</v>
      </c>
      <c r="E84" s="221"/>
      <c r="F84" s="160">
        <f>F82</f>
        <v>0</v>
      </c>
      <c r="G84" s="240"/>
      <c r="H84" s="158">
        <f>SUM(H82:H83)</f>
        <v>0</v>
      </c>
      <c r="I84" s="231"/>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row>
    <row r="85" spans="1:114" s="245" customFormat="1" ht="32.25" customHeight="1">
      <c r="A85" s="366" t="s">
        <v>321</v>
      </c>
      <c r="B85" s="390"/>
      <c r="C85" s="217" t="s">
        <v>388</v>
      </c>
      <c r="D85" s="287">
        <v>783</v>
      </c>
      <c r="E85" s="214" t="s">
        <v>373</v>
      </c>
      <c r="F85" s="393"/>
      <c r="G85" s="376"/>
      <c r="H85" s="259"/>
      <c r="I85" s="207"/>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row>
    <row r="86" spans="1:114" s="245" customFormat="1" ht="16.5" customHeight="1">
      <c r="A86" s="367"/>
      <c r="B86" s="392"/>
      <c r="C86" s="215"/>
      <c r="D86" s="261"/>
      <c r="E86" s="262"/>
      <c r="F86" s="395"/>
      <c r="G86" s="377"/>
      <c r="H86" s="158"/>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24" customHeight="1">
      <c r="A87" s="229" t="s">
        <v>20</v>
      </c>
      <c r="B87" s="238">
        <f>SUM(B85:B86)</f>
        <v>0</v>
      </c>
      <c r="C87" s="147"/>
      <c r="D87" s="220">
        <f>SUM(D85:D86)</f>
        <v>783</v>
      </c>
      <c r="E87" s="221"/>
      <c r="F87" s="160">
        <f>F85</f>
        <v>0</v>
      </c>
      <c r="G87" s="240"/>
      <c r="H87" s="158">
        <f>SUM(H85:H86)</f>
        <v>0</v>
      </c>
      <c r="I87" s="231"/>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9" ht="36" customHeight="1">
      <c r="A88" s="366" t="s">
        <v>389</v>
      </c>
      <c r="B88" s="359">
        <f>415+2020</f>
        <v>2435</v>
      </c>
      <c r="C88" s="370" t="s">
        <v>425</v>
      </c>
      <c r="D88" s="262">
        <v>783</v>
      </c>
      <c r="E88" s="261" t="s">
        <v>390</v>
      </c>
      <c r="F88" s="396"/>
      <c r="G88" s="376"/>
      <c r="H88" s="152"/>
      <c r="I88" s="207"/>
    </row>
    <row r="89" spans="1:9" ht="36" customHeight="1">
      <c r="A89" s="372"/>
      <c r="B89" s="373"/>
      <c r="C89" s="370"/>
      <c r="D89" s="262">
        <f>3647.4+3870+676.5+1852+1335</f>
        <v>11380.9</v>
      </c>
      <c r="E89" s="262" t="s">
        <v>422</v>
      </c>
      <c r="F89" s="397"/>
      <c r="G89" s="386"/>
      <c r="H89" s="152"/>
      <c r="I89" s="207"/>
    </row>
    <row r="90" spans="1:9" ht="36" customHeight="1">
      <c r="A90" s="372"/>
      <c r="B90" s="373"/>
      <c r="C90" s="370"/>
      <c r="D90" s="262">
        <f>1500+5655</f>
        <v>7155</v>
      </c>
      <c r="E90" s="276" t="s">
        <v>424</v>
      </c>
      <c r="F90" s="397"/>
      <c r="G90" s="386"/>
      <c r="H90" s="152"/>
      <c r="I90" s="207"/>
    </row>
    <row r="91" spans="1:9" ht="36" customHeight="1">
      <c r="A91" s="372"/>
      <c r="B91" s="373"/>
      <c r="C91" s="370"/>
      <c r="D91" s="262">
        <f>292</f>
        <v>292</v>
      </c>
      <c r="E91" s="276" t="s">
        <v>426</v>
      </c>
      <c r="F91" s="397"/>
      <c r="G91" s="386"/>
      <c r="H91" s="152"/>
      <c r="I91" s="207"/>
    </row>
    <row r="92" spans="1:9" ht="39.75" customHeight="1">
      <c r="A92" s="367"/>
      <c r="B92" s="360"/>
      <c r="C92" s="370"/>
      <c r="D92" s="262">
        <v>4</v>
      </c>
      <c r="E92" s="307" t="s">
        <v>364</v>
      </c>
      <c r="F92" s="398"/>
      <c r="G92" s="377"/>
      <c r="H92" s="152"/>
      <c r="I92" s="207"/>
    </row>
    <row r="93" spans="1:114" s="245" customFormat="1" ht="22.5" customHeight="1">
      <c r="A93" s="229" t="s">
        <v>20</v>
      </c>
      <c r="B93" s="252">
        <f>SUM(B88:B88)</f>
        <v>2435</v>
      </c>
      <c r="C93" s="370"/>
      <c r="D93" s="220">
        <f>SUM(D88:D92)</f>
        <v>19614.9</v>
      </c>
      <c r="E93" s="221"/>
      <c r="F93" s="160">
        <f>F88</f>
        <v>0</v>
      </c>
      <c r="G93" s="240"/>
      <c r="H93" s="250">
        <f>H88</f>
        <v>0</v>
      </c>
      <c r="I93" s="231"/>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74.75" customHeight="1" hidden="1">
      <c r="A94" s="229" t="s">
        <v>20</v>
      </c>
      <c r="B94" s="238">
        <f>SUM(B88:B93)</f>
        <v>4870</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6.5" customHeight="1" hidden="1">
      <c r="A95" s="263" t="s">
        <v>37</v>
      </c>
      <c r="B95" s="264">
        <v>10999</v>
      </c>
      <c r="C95" s="215" t="s">
        <v>52</v>
      </c>
      <c r="D95" s="221"/>
      <c r="E95" s="220"/>
      <c r="F95" s="159"/>
      <c r="G95" s="240"/>
      <c r="H95" s="158"/>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9" ht="17.25" customHeight="1" hidden="1">
      <c r="A96" s="263" t="s">
        <v>37</v>
      </c>
      <c r="B96" s="264">
        <v>1219</v>
      </c>
      <c r="C96" s="215" t="s">
        <v>43</v>
      </c>
      <c r="D96" s="262"/>
      <c r="E96" s="220"/>
      <c r="F96" s="162"/>
      <c r="G96" s="230"/>
      <c r="H96" s="259"/>
      <c r="I96" s="207"/>
    </row>
    <row r="97" spans="1:114" s="245" customFormat="1" ht="16.5" customHeight="1" hidden="1">
      <c r="A97" s="229" t="s">
        <v>20</v>
      </c>
      <c r="B97" s="238">
        <f>SUM(B95:B96)</f>
        <v>12218</v>
      </c>
      <c r="C97" s="146"/>
      <c r="D97" s="221"/>
      <c r="E97" s="220"/>
      <c r="F97" s="159"/>
      <c r="G97" s="240"/>
      <c r="H97" s="158"/>
      <c r="I97" s="158"/>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row>
    <row r="98" spans="1:114" s="245" customFormat="1" ht="16.5" customHeight="1" hidden="1">
      <c r="A98" s="263" t="s">
        <v>30</v>
      </c>
      <c r="B98" s="261">
        <v>3133</v>
      </c>
      <c r="C98" s="215" t="s">
        <v>44</v>
      </c>
      <c r="D98" s="262"/>
      <c r="E98" s="220"/>
      <c r="F98" s="159"/>
      <c r="G98" s="240"/>
      <c r="H98" s="158"/>
      <c r="I98" s="158"/>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row>
    <row r="99" spans="1:114" s="245" customFormat="1" ht="18.75" customHeight="1" hidden="1">
      <c r="A99" s="263" t="s">
        <v>30</v>
      </c>
      <c r="B99" s="261">
        <v>120</v>
      </c>
      <c r="C99" s="215" t="s">
        <v>36</v>
      </c>
      <c r="D99" s="262"/>
      <c r="E99" s="220"/>
      <c r="F99" s="159"/>
      <c r="G99" s="240"/>
      <c r="H99" s="158"/>
      <c r="I99" s="158"/>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18.75" customHeight="1" hidden="1">
      <c r="A100" s="263" t="s">
        <v>30</v>
      </c>
      <c r="B100" s="261">
        <v>210</v>
      </c>
      <c r="C100" s="215" t="s">
        <v>36</v>
      </c>
      <c r="D100" s="262"/>
      <c r="E100" s="220"/>
      <c r="F100" s="159"/>
      <c r="G100" s="240"/>
      <c r="H100" s="158"/>
      <c r="I100" s="158"/>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114" s="245" customFormat="1" ht="16.5" customHeight="1" hidden="1">
      <c r="A101" s="229" t="s">
        <v>20</v>
      </c>
      <c r="B101" s="220">
        <f>SUM(B98:B100)</f>
        <v>3463</v>
      </c>
      <c r="C101" s="146"/>
      <c r="D101" s="221"/>
      <c r="E101" s="220"/>
      <c r="F101" s="159"/>
      <c r="G101" s="240"/>
      <c r="H101" s="158"/>
      <c r="I101" s="158"/>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row>
    <row r="102" spans="1:114" s="245" customFormat="1" ht="17.25" customHeight="1" hidden="1">
      <c r="A102" s="263" t="s">
        <v>31</v>
      </c>
      <c r="B102" s="265">
        <v>60</v>
      </c>
      <c r="C102" s="215" t="s">
        <v>48</v>
      </c>
      <c r="D102" s="265">
        <v>149639.87</v>
      </c>
      <c r="E102" s="289" t="s">
        <v>47</v>
      </c>
      <c r="F102" s="156"/>
      <c r="G102" s="240"/>
      <c r="H102" s="263"/>
      <c r="I102" s="158"/>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17.25" customHeight="1" hidden="1">
      <c r="A103" s="263" t="s">
        <v>31</v>
      </c>
      <c r="B103" s="265">
        <v>3951.33</v>
      </c>
      <c r="C103" s="215" t="s">
        <v>51</v>
      </c>
      <c r="D103" s="265"/>
      <c r="E103" s="289"/>
      <c r="F103" s="156"/>
      <c r="G103" s="240"/>
      <c r="H103" s="263"/>
      <c r="I103" s="158"/>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30" customHeight="1">
      <c r="A104" s="366" t="s">
        <v>37</v>
      </c>
      <c r="B104" s="359">
        <f>13985+3626.7+1730</f>
        <v>19341.7</v>
      </c>
      <c r="C104" s="361" t="s">
        <v>428</v>
      </c>
      <c r="D104" s="262">
        <v>783</v>
      </c>
      <c r="E104" s="261" t="s">
        <v>390</v>
      </c>
      <c r="F104" s="396"/>
      <c r="G104" s="376"/>
      <c r="H104" s="259"/>
      <c r="I104" s="207"/>
    </row>
    <row r="105" spans="1:9" ht="30" customHeight="1">
      <c r="A105" s="372"/>
      <c r="B105" s="373"/>
      <c r="C105" s="375"/>
      <c r="D105" s="318">
        <f>5160+6516+3967+5919+45+10+3723+10</f>
        <v>25350</v>
      </c>
      <c r="E105" s="262" t="s">
        <v>422</v>
      </c>
      <c r="F105" s="397"/>
      <c r="G105" s="386"/>
      <c r="H105" s="259"/>
      <c r="I105" s="312"/>
    </row>
    <row r="106" spans="1:9" ht="30" customHeight="1">
      <c r="A106" s="372"/>
      <c r="B106" s="373"/>
      <c r="C106" s="375"/>
      <c r="D106" s="262">
        <f>14581+4322+2550</f>
        <v>21453</v>
      </c>
      <c r="E106" s="276" t="s">
        <v>424</v>
      </c>
      <c r="F106" s="397"/>
      <c r="G106" s="386"/>
      <c r="H106" s="259"/>
      <c r="I106" s="312"/>
    </row>
    <row r="107" spans="1:9" ht="30" customHeight="1">
      <c r="A107" s="372"/>
      <c r="B107" s="373"/>
      <c r="C107" s="375"/>
      <c r="D107" s="262">
        <v>4179</v>
      </c>
      <c r="E107" s="276" t="s">
        <v>427</v>
      </c>
      <c r="F107" s="397"/>
      <c r="G107" s="386"/>
      <c r="H107" s="259"/>
      <c r="I107" s="312"/>
    </row>
    <row r="108" spans="1:9" ht="30" customHeight="1">
      <c r="A108" s="372"/>
      <c r="B108" s="373"/>
      <c r="C108" s="375"/>
      <c r="D108" s="262">
        <f>1204+2500</f>
        <v>3704</v>
      </c>
      <c r="E108" s="276" t="s">
        <v>426</v>
      </c>
      <c r="F108" s="397"/>
      <c r="G108" s="386"/>
      <c r="H108" s="259"/>
      <c r="I108" s="312"/>
    </row>
    <row r="109" spans="1:9" ht="33" customHeight="1">
      <c r="A109" s="367"/>
      <c r="B109" s="360"/>
      <c r="C109" s="375"/>
      <c r="D109" s="262">
        <v>4</v>
      </c>
      <c r="E109" s="307" t="s">
        <v>364</v>
      </c>
      <c r="F109" s="398"/>
      <c r="G109" s="377"/>
      <c r="H109" s="162"/>
      <c r="I109" s="213"/>
    </row>
    <row r="110" spans="1:114" s="245" customFormat="1" ht="25.5" customHeight="1">
      <c r="A110" s="229" t="s">
        <v>20</v>
      </c>
      <c r="B110" s="252">
        <f>SUM(B104:B104)</f>
        <v>19341.7</v>
      </c>
      <c r="C110" s="362"/>
      <c r="D110" s="220">
        <f>SUM(D104:D109)</f>
        <v>55473</v>
      </c>
      <c r="E110" s="221"/>
      <c r="F110" s="160">
        <f>F104</f>
        <v>0</v>
      </c>
      <c r="G110" s="240"/>
      <c r="H110" s="158">
        <f>SUM(H104:H109)</f>
        <v>0</v>
      </c>
      <c r="I110" s="231"/>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39" customHeight="1">
      <c r="A111" s="366" t="s">
        <v>391</v>
      </c>
      <c r="B111" s="359">
        <v>920</v>
      </c>
      <c r="C111" s="234" t="s">
        <v>394</v>
      </c>
      <c r="D111" s="287">
        <v>783</v>
      </c>
      <c r="E111" s="214" t="s">
        <v>390</v>
      </c>
      <c r="F111" s="396"/>
      <c r="G111" s="376"/>
      <c r="H111" s="259"/>
      <c r="I111" s="207"/>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9" ht="16.5" customHeight="1">
      <c r="A112" s="367"/>
      <c r="B112" s="360"/>
      <c r="C112" s="215"/>
      <c r="D112" s="262"/>
      <c r="E112" s="261"/>
      <c r="F112" s="398"/>
      <c r="G112" s="377"/>
      <c r="H112" s="262"/>
      <c r="I112" s="299"/>
    </row>
    <row r="113" spans="1:114" s="245" customFormat="1" ht="25.5" customHeight="1">
      <c r="A113" s="229" t="s">
        <v>20</v>
      </c>
      <c r="B113" s="238">
        <f>SUM(B111:B111)</f>
        <v>920</v>
      </c>
      <c r="C113" s="147"/>
      <c r="D113" s="220">
        <f>D112+D111</f>
        <v>783</v>
      </c>
      <c r="E113" s="221"/>
      <c r="F113" s="160">
        <f>F111</f>
        <v>0</v>
      </c>
      <c r="G113" s="240"/>
      <c r="H113" s="158">
        <f>SUM(H111:H112)</f>
        <v>0</v>
      </c>
      <c r="I113" s="231"/>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33.75" customHeight="1">
      <c r="A114" s="366" t="s">
        <v>395</v>
      </c>
      <c r="B114" s="359">
        <v>1760</v>
      </c>
      <c r="C114" s="409" t="s">
        <v>394</v>
      </c>
      <c r="D114" s="287">
        <v>1566</v>
      </c>
      <c r="E114" s="214" t="s">
        <v>390</v>
      </c>
      <c r="F114" s="396"/>
      <c r="G114" s="376"/>
      <c r="H114" s="259"/>
      <c r="I114" s="207"/>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9" ht="25.5" customHeight="1">
      <c r="A115" s="367"/>
      <c r="B115" s="360"/>
      <c r="C115" s="410"/>
      <c r="D115" s="262"/>
      <c r="E115" s="261"/>
      <c r="F115" s="398"/>
      <c r="G115" s="377"/>
      <c r="H115" s="259"/>
      <c r="I115" s="207"/>
    </row>
    <row r="116" spans="1:114" s="245" customFormat="1" ht="21" customHeight="1">
      <c r="A116" s="229" t="s">
        <v>20</v>
      </c>
      <c r="B116" s="238">
        <f>SUM(B114:B115)</f>
        <v>1760</v>
      </c>
      <c r="C116" s="147"/>
      <c r="D116" s="220">
        <f>D115+D114</f>
        <v>1566</v>
      </c>
      <c r="E116" s="221"/>
      <c r="F116" s="160">
        <f>F114</f>
        <v>0</v>
      </c>
      <c r="G116" s="240"/>
      <c r="H116" s="158">
        <f>SUM(H114:H115)</f>
        <v>0</v>
      </c>
      <c r="I116" s="231"/>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0.75" customHeight="1" hidden="1">
      <c r="A117" s="365" t="s">
        <v>397</v>
      </c>
      <c r="B117" s="369">
        <f>110.7+9462.99+2080+701.3+661.8</f>
        <v>13016.789999999999</v>
      </c>
      <c r="C117" s="215"/>
      <c r="D117" s="261"/>
      <c r="E117" s="290"/>
      <c r="F117" s="396"/>
      <c r="G117" s="376"/>
      <c r="H117" s="158"/>
      <c r="I117" s="231"/>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33" customHeight="1">
      <c r="A118" s="365"/>
      <c r="B118" s="369"/>
      <c r="C118" s="366" t="s">
        <v>429</v>
      </c>
      <c r="D118" s="262">
        <v>4</v>
      </c>
      <c r="E118" s="307" t="s">
        <v>364</v>
      </c>
      <c r="F118" s="397"/>
      <c r="G118" s="386"/>
      <c r="H118" s="156"/>
      <c r="I118" s="213"/>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33" customHeight="1">
      <c r="A119" s="365"/>
      <c r="B119" s="369"/>
      <c r="C119" s="372"/>
      <c r="D119" s="262">
        <v>75042</v>
      </c>
      <c r="E119" s="313" t="s">
        <v>407</v>
      </c>
      <c r="F119" s="397"/>
      <c r="G119" s="386"/>
      <c r="H119" s="156"/>
      <c r="I119" s="213"/>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33" customHeight="1">
      <c r="A120" s="365"/>
      <c r="B120" s="369"/>
      <c r="C120" s="372"/>
      <c r="D120" s="262">
        <f>45</f>
        <v>45</v>
      </c>
      <c r="E120" s="276" t="s">
        <v>424</v>
      </c>
      <c r="F120" s="397"/>
      <c r="G120" s="386"/>
      <c r="H120" s="156"/>
      <c r="I120" s="213"/>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33" customHeight="1">
      <c r="A121" s="365"/>
      <c r="B121" s="369"/>
      <c r="C121" s="372"/>
      <c r="D121" s="262">
        <v>932</v>
      </c>
      <c r="E121" s="276" t="s">
        <v>426</v>
      </c>
      <c r="F121" s="397"/>
      <c r="G121" s="386"/>
      <c r="H121" s="156"/>
      <c r="I121" s="213"/>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33" customHeight="1">
      <c r="A122" s="365"/>
      <c r="B122" s="369"/>
      <c r="C122" s="372"/>
      <c r="D122" s="262">
        <f>66840+20273+267360</f>
        <v>354473</v>
      </c>
      <c r="E122" s="314" t="s">
        <v>409</v>
      </c>
      <c r="F122" s="397"/>
      <c r="G122" s="386"/>
      <c r="H122" s="156"/>
      <c r="I122" s="213"/>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9" ht="35.25" customHeight="1">
      <c r="A123" s="365"/>
      <c r="B123" s="369"/>
      <c r="C123" s="367"/>
      <c r="D123" s="261">
        <v>783</v>
      </c>
      <c r="E123" s="261" t="s">
        <v>390</v>
      </c>
      <c r="F123" s="398"/>
      <c r="G123" s="377"/>
      <c r="H123" s="156"/>
      <c r="I123" s="213"/>
    </row>
    <row r="124" spans="1:9" ht="70.5" customHeight="1">
      <c r="A124" s="157"/>
      <c r="B124" s="321"/>
      <c r="C124" s="319" t="s">
        <v>436</v>
      </c>
      <c r="D124" s="261">
        <v>9712.21</v>
      </c>
      <c r="E124" s="261" t="s">
        <v>437</v>
      </c>
      <c r="F124" s="322"/>
      <c r="G124" s="320"/>
      <c r="H124" s="156"/>
      <c r="I124" s="213"/>
    </row>
    <row r="125" spans="1:114" s="245" customFormat="1" ht="24" customHeight="1">
      <c r="A125" s="229" t="s">
        <v>20</v>
      </c>
      <c r="B125" s="252">
        <f>SUM(B117:B117)</f>
        <v>13016.789999999999</v>
      </c>
      <c r="C125" s="215"/>
      <c r="D125" s="220">
        <f>SUM(D118:D124)</f>
        <v>440991.21</v>
      </c>
      <c r="E125" s="262"/>
      <c r="F125" s="160">
        <f>F117</f>
        <v>0</v>
      </c>
      <c r="G125" s="240"/>
      <c r="H125" s="250">
        <f>SUM(H117:H123)</f>
        <v>0</v>
      </c>
      <c r="I125" s="231"/>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37.5" customHeight="1">
      <c r="A126" s="365" t="s">
        <v>58</v>
      </c>
      <c r="B126" s="359"/>
      <c r="C126" s="361" t="s">
        <v>388</v>
      </c>
      <c r="D126" s="261">
        <v>783</v>
      </c>
      <c r="E126" s="262" t="s">
        <v>390</v>
      </c>
      <c r="F126" s="393"/>
      <c r="G126" s="376"/>
      <c r="H126" s="259"/>
      <c r="I126" s="207"/>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5.75" customHeight="1">
      <c r="A127" s="365"/>
      <c r="B127" s="360"/>
      <c r="C127" s="362"/>
      <c r="D127" s="287"/>
      <c r="E127" s="214"/>
      <c r="F127" s="395"/>
      <c r="G127" s="377"/>
      <c r="H127" s="263"/>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19.5" customHeight="1">
      <c r="A128" s="229" t="s">
        <v>20</v>
      </c>
      <c r="B128" s="266">
        <f>B126</f>
        <v>0</v>
      </c>
      <c r="C128" s="146"/>
      <c r="D128" s="266">
        <f>SUM(D126:D127)</f>
        <v>783</v>
      </c>
      <c r="E128" s="220"/>
      <c r="F128" s="159">
        <f>F126</f>
        <v>0</v>
      </c>
      <c r="G128" s="240"/>
      <c r="H128" s="158">
        <f>SUM(H126:H127)</f>
        <v>0</v>
      </c>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32.25" customHeight="1">
      <c r="A129" s="366" t="s">
        <v>320</v>
      </c>
      <c r="B129" s="402"/>
      <c r="C129" s="215" t="s">
        <v>388</v>
      </c>
      <c r="D129" s="265">
        <v>783</v>
      </c>
      <c r="E129" s="262" t="s">
        <v>398</v>
      </c>
      <c r="F129" s="393"/>
      <c r="G129" s="376"/>
      <c r="H129" s="158"/>
      <c r="I129" s="158"/>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27.75" customHeight="1">
      <c r="A130" s="372"/>
      <c r="B130" s="403"/>
      <c r="C130" s="303" t="s">
        <v>430</v>
      </c>
      <c r="D130" s="261">
        <v>7100</v>
      </c>
      <c r="E130" s="314" t="s">
        <v>426</v>
      </c>
      <c r="F130" s="395"/>
      <c r="G130" s="377"/>
      <c r="H130" s="263"/>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21" customHeight="1">
      <c r="A131" s="229" t="s">
        <v>20</v>
      </c>
      <c r="B131" s="266">
        <f>SUM(B129)</f>
        <v>0</v>
      </c>
      <c r="C131" s="146"/>
      <c r="D131" s="266">
        <f>SUM(D129:D130)</f>
        <v>7883</v>
      </c>
      <c r="E131" s="220"/>
      <c r="F131" s="159">
        <f>F129</f>
        <v>0</v>
      </c>
      <c r="G131" s="240"/>
      <c r="H131" s="158">
        <f>SUM(H129:H130)</f>
        <v>0</v>
      </c>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36" customHeight="1">
      <c r="A132" s="365" t="s">
        <v>399</v>
      </c>
      <c r="B132" s="402">
        <v>2180</v>
      </c>
      <c r="C132" s="361" t="s">
        <v>431</v>
      </c>
      <c r="D132" s="261">
        <v>2</v>
      </c>
      <c r="E132" s="310" t="s">
        <v>332</v>
      </c>
      <c r="F132" s="393"/>
      <c r="G132" s="376"/>
      <c r="H132" s="261"/>
      <c r="I132" s="299"/>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30" customHeight="1">
      <c r="A133" s="365"/>
      <c r="B133" s="403"/>
      <c r="C133" s="375"/>
      <c r="D133" s="261">
        <v>220</v>
      </c>
      <c r="E133" s="276" t="s">
        <v>424</v>
      </c>
      <c r="F133" s="394"/>
      <c r="G133" s="386"/>
      <c r="H133" s="261"/>
      <c r="I133" s="299"/>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34.5" customHeight="1">
      <c r="A134" s="365"/>
      <c r="B134" s="404"/>
      <c r="C134" s="362"/>
      <c r="D134" s="286">
        <v>5505</v>
      </c>
      <c r="E134" s="317" t="s">
        <v>426</v>
      </c>
      <c r="F134" s="395"/>
      <c r="G134" s="377"/>
      <c r="H134" s="158"/>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19.5" customHeight="1">
      <c r="A135" s="229" t="s">
        <v>20</v>
      </c>
      <c r="B135" s="220">
        <f>SUM(B132)</f>
        <v>2180</v>
      </c>
      <c r="C135" s="146"/>
      <c r="D135" s="221">
        <f>SUM(D132:D134)</f>
        <v>5727</v>
      </c>
      <c r="E135" s="311"/>
      <c r="F135" s="159">
        <f>F132</f>
        <v>0</v>
      </c>
      <c r="G135" s="240"/>
      <c r="H135" s="158">
        <f>SUM(H132:H134)</f>
        <v>0</v>
      </c>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21" customHeight="1">
      <c r="A136" s="366" t="s">
        <v>59</v>
      </c>
      <c r="B136" s="402">
        <v>1960</v>
      </c>
      <c r="C136" s="218" t="s">
        <v>372</v>
      </c>
      <c r="D136" s="261"/>
      <c r="E136" s="292"/>
      <c r="F136" s="393"/>
      <c r="G136" s="376"/>
      <c r="H136" s="259"/>
      <c r="I136" s="207"/>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5" customHeight="1">
      <c r="A137" s="367"/>
      <c r="B137" s="404"/>
      <c r="C137" s="215"/>
      <c r="D137" s="287"/>
      <c r="E137" s="214"/>
      <c r="F137" s="395"/>
      <c r="G137" s="377"/>
      <c r="H137" s="158"/>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9.5" customHeight="1">
      <c r="A138" s="229" t="s">
        <v>20</v>
      </c>
      <c r="B138" s="220">
        <f>B136</f>
        <v>1960</v>
      </c>
      <c r="C138" s="146"/>
      <c r="D138" s="221">
        <f>D136+D137</f>
        <v>0</v>
      </c>
      <c r="E138" s="261"/>
      <c r="F138" s="159">
        <f>F136</f>
        <v>0</v>
      </c>
      <c r="G138" s="240"/>
      <c r="H138" s="158">
        <f>SUM(H136:H137)</f>
        <v>0</v>
      </c>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30.75" customHeight="1">
      <c r="A139" s="366" t="s">
        <v>323</v>
      </c>
      <c r="B139" s="402"/>
      <c r="C139" s="387" t="s">
        <v>388</v>
      </c>
      <c r="D139" s="262">
        <v>783</v>
      </c>
      <c r="E139" s="280" t="s">
        <v>390</v>
      </c>
      <c r="F139" s="393"/>
      <c r="G139" s="405"/>
      <c r="H139" s="259"/>
      <c r="I139" s="207"/>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16.5" customHeight="1">
      <c r="A140" s="367"/>
      <c r="B140" s="404"/>
      <c r="C140" s="389"/>
      <c r="D140" s="287"/>
      <c r="E140" s="214"/>
      <c r="F140" s="395"/>
      <c r="G140" s="406"/>
      <c r="H140" s="158"/>
      <c r="I140" s="158"/>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21.75" customHeight="1">
      <c r="A141" s="229" t="s">
        <v>20</v>
      </c>
      <c r="B141" s="220">
        <f>B139</f>
        <v>0</v>
      </c>
      <c r="C141" s="146"/>
      <c r="D141" s="221">
        <f>D140+D139</f>
        <v>783</v>
      </c>
      <c r="E141" s="261"/>
      <c r="F141" s="159">
        <f>F139</f>
        <v>0</v>
      </c>
      <c r="G141" s="240"/>
      <c r="H141" s="158">
        <f>SUM(H139:H140)</f>
        <v>0</v>
      </c>
      <c r="I141" s="158"/>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18.75" customHeight="1">
      <c r="A142" s="366" t="s">
        <v>400</v>
      </c>
      <c r="B142" s="402">
        <v>1670</v>
      </c>
      <c r="C142" s="219" t="s">
        <v>372</v>
      </c>
      <c r="D142" s="287"/>
      <c r="E142" s="214"/>
      <c r="F142" s="393"/>
      <c r="G142" s="376"/>
      <c r="H142" s="261"/>
      <c r="I142" s="299"/>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15.75">
      <c r="A143" s="367"/>
      <c r="B143" s="404"/>
      <c r="C143" s="215"/>
      <c r="D143" s="261"/>
      <c r="E143" s="261"/>
      <c r="F143" s="395"/>
      <c r="G143" s="377"/>
      <c r="H143" s="158"/>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19.5" customHeight="1">
      <c r="A144" s="229" t="s">
        <v>20</v>
      </c>
      <c r="B144" s="220">
        <f>SUM(B142)</f>
        <v>1670</v>
      </c>
      <c r="C144" s="146"/>
      <c r="D144" s="221">
        <f>D143+D142</f>
        <v>0</v>
      </c>
      <c r="E144" s="261"/>
      <c r="F144" s="159">
        <f>F142</f>
        <v>0</v>
      </c>
      <c r="G144" s="240"/>
      <c r="H144" s="158">
        <f>SUM(H142:H143)</f>
        <v>0</v>
      </c>
      <c r="I144" s="158"/>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0.25" customHeight="1" hidden="1">
      <c r="A145" s="366" t="s">
        <v>61</v>
      </c>
      <c r="B145" s="402"/>
      <c r="C145" s="387"/>
      <c r="D145" s="287"/>
      <c r="E145" s="214"/>
      <c r="F145" s="393"/>
      <c r="G145" s="376"/>
      <c r="H145" s="259"/>
      <c r="I145" s="207"/>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0.75" customHeight="1" hidden="1">
      <c r="A146" s="372"/>
      <c r="B146" s="403"/>
      <c r="C146" s="389"/>
      <c r="D146" s="293"/>
      <c r="E146" s="293"/>
      <c r="F146" s="394"/>
      <c r="G146" s="386"/>
      <c r="H146" s="158"/>
      <c r="I146" s="158"/>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20.25" customHeight="1" hidden="1">
      <c r="A147" s="367"/>
      <c r="B147" s="404"/>
      <c r="C147" s="215"/>
      <c r="D147" s="261"/>
      <c r="E147" s="280"/>
      <c r="F147" s="395"/>
      <c r="G147" s="377"/>
      <c r="H147" s="158"/>
      <c r="I147" s="158"/>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19.5" customHeight="1" hidden="1">
      <c r="A148" s="229" t="s">
        <v>20</v>
      </c>
      <c r="B148" s="220">
        <f>SUM(B145)</f>
        <v>0</v>
      </c>
      <c r="C148" s="146"/>
      <c r="D148" s="221">
        <f>SUM(D145:D147)</f>
        <v>0</v>
      </c>
      <c r="E148" s="261"/>
      <c r="F148" s="159">
        <f>F145</f>
        <v>0</v>
      </c>
      <c r="G148" s="240"/>
      <c r="H148" s="158">
        <f>SUM(H145:H147)</f>
        <v>0</v>
      </c>
      <c r="I148" s="158"/>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34.5" customHeight="1">
      <c r="A149" s="365" t="s">
        <v>62</v>
      </c>
      <c r="B149" s="408">
        <v>3400</v>
      </c>
      <c r="C149" s="217" t="s">
        <v>372</v>
      </c>
      <c r="D149" s="287">
        <v>3629.28</v>
      </c>
      <c r="E149" s="310" t="s">
        <v>341</v>
      </c>
      <c r="F149" s="393"/>
      <c r="G149" s="376"/>
      <c r="H149" s="259"/>
      <c r="I149" s="207"/>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29.25" customHeight="1">
      <c r="A150" s="365"/>
      <c r="B150" s="408"/>
      <c r="C150" s="217" t="s">
        <v>433</v>
      </c>
      <c r="D150" s="287">
        <v>1543696</v>
      </c>
      <c r="E150" s="214" t="s">
        <v>432</v>
      </c>
      <c r="F150" s="394"/>
      <c r="G150" s="386"/>
      <c r="H150" s="259"/>
      <c r="I150" s="207"/>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19.5" customHeight="1">
      <c r="A151" s="365"/>
      <c r="B151" s="408"/>
      <c r="C151" s="215" t="s">
        <v>434</v>
      </c>
      <c r="D151" s="261">
        <v>12570</v>
      </c>
      <c r="E151" s="262" t="s">
        <v>424</v>
      </c>
      <c r="F151" s="395"/>
      <c r="G151" s="377"/>
      <c r="H151" s="158"/>
      <c r="I151" s="158"/>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21" customHeight="1">
      <c r="A152" s="229" t="s">
        <v>20</v>
      </c>
      <c r="B152" s="220">
        <f>SUM(B149)</f>
        <v>3400</v>
      </c>
      <c r="C152" s="146"/>
      <c r="D152" s="221">
        <f>SUM(D149:D151)</f>
        <v>1559895.28</v>
      </c>
      <c r="E152" s="311"/>
      <c r="F152" s="159">
        <f>F149</f>
        <v>0</v>
      </c>
      <c r="G152" s="240"/>
      <c r="H152" s="158">
        <f>SUM(H149:H151)</f>
        <v>0</v>
      </c>
      <c r="I152" s="158"/>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27.75" customHeight="1">
      <c r="A153" s="366" t="s">
        <v>46</v>
      </c>
      <c r="B153" s="402"/>
      <c r="C153" s="215" t="s">
        <v>388</v>
      </c>
      <c r="D153" s="261">
        <v>783</v>
      </c>
      <c r="E153" s="280" t="s">
        <v>390</v>
      </c>
      <c r="F153" s="393"/>
      <c r="G153" s="376"/>
      <c r="H153" s="259"/>
      <c r="I153" s="207"/>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18" customHeight="1">
      <c r="A154" s="367"/>
      <c r="B154" s="404"/>
      <c r="C154" s="302"/>
      <c r="D154" s="261"/>
      <c r="E154" s="262"/>
      <c r="F154" s="395"/>
      <c r="G154" s="377"/>
      <c r="H154" s="158"/>
      <c r="I154" s="158"/>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18.75" customHeight="1">
      <c r="A155" s="229" t="s">
        <v>20</v>
      </c>
      <c r="B155" s="220">
        <f>B153</f>
        <v>0</v>
      </c>
      <c r="C155" s="146"/>
      <c r="D155" s="221">
        <f>D154+D153</f>
        <v>783</v>
      </c>
      <c r="E155" s="220"/>
      <c r="F155" s="159">
        <f>F153</f>
        <v>0</v>
      </c>
      <c r="G155" s="240"/>
      <c r="H155" s="158">
        <f>SUM(H153:H154)</f>
        <v>0</v>
      </c>
      <c r="I155" s="158"/>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48" customHeight="1">
      <c r="A156" s="366" t="s">
        <v>63</v>
      </c>
      <c r="B156" s="402">
        <f>6799+2490</f>
        <v>9289</v>
      </c>
      <c r="C156" s="215" t="s">
        <v>401</v>
      </c>
      <c r="D156" s="261">
        <v>1</v>
      </c>
      <c r="E156" s="310" t="s">
        <v>332</v>
      </c>
      <c r="F156" s="393"/>
      <c r="G156" s="376"/>
      <c r="H156" s="158"/>
      <c r="I156" s="158"/>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31.5" customHeight="1">
      <c r="A157" s="367"/>
      <c r="B157" s="404"/>
      <c r="C157" s="215"/>
      <c r="D157" s="286">
        <v>783</v>
      </c>
      <c r="E157" s="280" t="s">
        <v>390</v>
      </c>
      <c r="F157" s="395"/>
      <c r="G157" s="377"/>
      <c r="H157" s="261"/>
      <c r="I157" s="301"/>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3.25" customHeight="1">
      <c r="A158" s="229" t="s">
        <v>20</v>
      </c>
      <c r="B158" s="220">
        <f>B156</f>
        <v>9289</v>
      </c>
      <c r="C158" s="146"/>
      <c r="D158" s="221">
        <f>D157+D156</f>
        <v>784</v>
      </c>
      <c r="E158" s="311"/>
      <c r="F158" s="159">
        <f>F156</f>
        <v>0</v>
      </c>
      <c r="G158" s="240"/>
      <c r="H158" s="158">
        <f>SUM(H156:H157)</f>
        <v>0</v>
      </c>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29.25" customHeight="1">
      <c r="A159" s="376" t="s">
        <v>402</v>
      </c>
      <c r="B159" s="378"/>
      <c r="C159" s="219" t="s">
        <v>414</v>
      </c>
      <c r="D159" s="262">
        <v>1147116.6</v>
      </c>
      <c r="E159" s="311" t="s">
        <v>413</v>
      </c>
      <c r="F159" s="159"/>
      <c r="G159" s="240"/>
      <c r="H159" s="158"/>
      <c r="I159" s="158"/>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54" customHeight="1">
      <c r="A160" s="377"/>
      <c r="B160" s="379"/>
      <c r="C160" s="219" t="s">
        <v>415</v>
      </c>
      <c r="D160" s="262">
        <v>214000</v>
      </c>
      <c r="E160" s="261" t="s">
        <v>403</v>
      </c>
      <c r="F160" s="162"/>
      <c r="G160" s="240"/>
      <c r="H160" s="152"/>
      <c r="I160" s="207"/>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45" customFormat="1" ht="23.25" customHeight="1">
      <c r="A161" s="229" t="s">
        <v>20</v>
      </c>
      <c r="B161" s="220">
        <v>0</v>
      </c>
      <c r="C161" s="146"/>
      <c r="D161" s="221">
        <f>SUM(D159:D160)</f>
        <v>1361116.6</v>
      </c>
      <c r="E161" s="220"/>
      <c r="F161" s="159">
        <v>0</v>
      </c>
      <c r="G161" s="240"/>
      <c r="H161" s="250">
        <f>SUM(H160)</f>
        <v>0</v>
      </c>
      <c r="I161" s="158"/>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row>
    <row r="162" spans="1:114" s="245" customFormat="1" ht="31.5" customHeight="1">
      <c r="A162" s="157" t="s">
        <v>272</v>
      </c>
      <c r="B162" s="261"/>
      <c r="C162" s="215" t="s">
        <v>388</v>
      </c>
      <c r="D162" s="286">
        <v>783</v>
      </c>
      <c r="E162" s="214" t="s">
        <v>390</v>
      </c>
      <c r="F162" s="156"/>
      <c r="G162" s="240"/>
      <c r="H162" s="259"/>
      <c r="I162" s="207"/>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row>
    <row r="163" spans="1:114" s="245" customFormat="1" ht="24.75" customHeight="1">
      <c r="A163" s="229" t="s">
        <v>20</v>
      </c>
      <c r="B163" s="220">
        <f>B162</f>
        <v>0</v>
      </c>
      <c r="C163" s="146"/>
      <c r="D163" s="221">
        <f>D162</f>
        <v>783</v>
      </c>
      <c r="E163" s="220"/>
      <c r="F163" s="159"/>
      <c r="G163" s="240"/>
      <c r="H163" s="158">
        <f>H162</f>
        <v>0</v>
      </c>
      <c r="I163" s="158"/>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row>
    <row r="164" spans="1:114" s="245" customFormat="1" ht="72" customHeight="1">
      <c r="A164" s="157" t="s">
        <v>54</v>
      </c>
      <c r="B164" s="261"/>
      <c r="C164" s="215" t="s">
        <v>331</v>
      </c>
      <c r="D164" s="287">
        <v>1</v>
      </c>
      <c r="E164" s="214" t="s">
        <v>332</v>
      </c>
      <c r="F164" s="156"/>
      <c r="G164" s="240"/>
      <c r="H164" s="259"/>
      <c r="I164" s="207"/>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row>
    <row r="165" spans="1:114" s="245" customFormat="1" ht="20.25" customHeight="1">
      <c r="A165" s="229" t="s">
        <v>20</v>
      </c>
      <c r="B165" s="220">
        <f>B164</f>
        <v>0</v>
      </c>
      <c r="C165" s="146"/>
      <c r="D165" s="221">
        <f>D164</f>
        <v>1</v>
      </c>
      <c r="E165" s="220"/>
      <c r="F165" s="159"/>
      <c r="G165" s="240"/>
      <c r="H165" s="158">
        <f>H164</f>
        <v>0</v>
      </c>
      <c r="I165" s="158"/>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row>
    <row r="166" spans="1:114" s="245" customFormat="1" ht="30.75" customHeight="1">
      <c r="A166" s="157" t="s">
        <v>66</v>
      </c>
      <c r="B166" s="261"/>
      <c r="C166" s="215"/>
      <c r="D166" s="287">
        <v>783</v>
      </c>
      <c r="E166" s="214" t="s">
        <v>374</v>
      </c>
      <c r="F166" s="156"/>
      <c r="G166" s="240"/>
      <c r="H166" s="259"/>
      <c r="I166" s="207"/>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row>
    <row r="167" spans="1:114" s="245" customFormat="1" ht="23.25" customHeight="1">
      <c r="A167" s="229" t="s">
        <v>20</v>
      </c>
      <c r="B167" s="220">
        <f>B166</f>
        <v>0</v>
      </c>
      <c r="C167" s="146"/>
      <c r="D167" s="221">
        <f>D166</f>
        <v>783</v>
      </c>
      <c r="E167" s="220"/>
      <c r="F167" s="159"/>
      <c r="G167" s="240"/>
      <c r="H167" s="158">
        <f>H166</f>
        <v>0</v>
      </c>
      <c r="I167" s="158"/>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4"/>
      <c r="DF167" s="244"/>
      <c r="DG167" s="244"/>
      <c r="DH167" s="244"/>
      <c r="DI167" s="244"/>
      <c r="DJ167" s="244"/>
    </row>
    <row r="168" spans="1:114" s="245" customFormat="1" ht="36" customHeight="1">
      <c r="A168" s="228" t="s">
        <v>319</v>
      </c>
      <c r="B168" s="220"/>
      <c r="C168" s="146"/>
      <c r="D168" s="287">
        <v>783</v>
      </c>
      <c r="E168" s="214" t="s">
        <v>374</v>
      </c>
      <c r="F168" s="159"/>
      <c r="G168" s="240"/>
      <c r="H168" s="259"/>
      <c r="I168" s="207"/>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4"/>
      <c r="DF168" s="244"/>
      <c r="DG168" s="244"/>
      <c r="DH168" s="244"/>
      <c r="DI168" s="244"/>
      <c r="DJ168" s="244"/>
    </row>
    <row r="169" spans="1:114" s="245" customFormat="1" ht="29.25" customHeight="1">
      <c r="A169" s="229" t="s">
        <v>20</v>
      </c>
      <c r="B169" s="220">
        <f>B168</f>
        <v>0</v>
      </c>
      <c r="C169" s="146"/>
      <c r="D169" s="221">
        <f>D168</f>
        <v>783</v>
      </c>
      <c r="E169" s="220"/>
      <c r="F169" s="159"/>
      <c r="G169" s="240"/>
      <c r="H169" s="158">
        <f>H168</f>
        <v>0</v>
      </c>
      <c r="I169" s="158"/>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row>
    <row r="170" spans="1:114" s="245" customFormat="1" ht="84" customHeight="1">
      <c r="A170" s="157" t="s">
        <v>317</v>
      </c>
      <c r="B170" s="261"/>
      <c r="C170" s="215" t="s">
        <v>334</v>
      </c>
      <c r="D170" s="286">
        <v>1600</v>
      </c>
      <c r="E170" s="214" t="s">
        <v>333</v>
      </c>
      <c r="F170" s="156"/>
      <c r="G170" s="240"/>
      <c r="H170" s="259"/>
      <c r="I170" s="207"/>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row>
    <row r="171" spans="1:114" s="245" customFormat="1" ht="24.75" customHeight="1">
      <c r="A171" s="229" t="s">
        <v>20</v>
      </c>
      <c r="B171" s="220">
        <f>SUM(B170)</f>
        <v>0</v>
      </c>
      <c r="C171" s="146"/>
      <c r="D171" s="221">
        <f>D170</f>
        <v>1600</v>
      </c>
      <c r="E171" s="220"/>
      <c r="F171" s="159"/>
      <c r="G171" s="240"/>
      <c r="H171" s="158">
        <f>H170</f>
        <v>0</v>
      </c>
      <c r="I171" s="158"/>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row>
    <row r="172" spans="1:114" s="245" customFormat="1" ht="27.75" customHeight="1">
      <c r="A172" s="157" t="s">
        <v>64</v>
      </c>
      <c r="B172" s="261">
        <v>2496</v>
      </c>
      <c r="C172" s="215" t="s">
        <v>342</v>
      </c>
      <c r="D172" s="287"/>
      <c r="E172" s="214"/>
      <c r="F172" s="156"/>
      <c r="G172" s="240"/>
      <c r="H172" s="259"/>
      <c r="I172" s="207"/>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row>
    <row r="173" spans="1:114" s="245" customFormat="1" ht="23.25" customHeight="1">
      <c r="A173" s="229" t="s">
        <v>20</v>
      </c>
      <c r="B173" s="220">
        <f>B172</f>
        <v>2496</v>
      </c>
      <c r="C173" s="146"/>
      <c r="D173" s="221">
        <f>D172</f>
        <v>0</v>
      </c>
      <c r="E173" s="220"/>
      <c r="F173" s="159"/>
      <c r="G173" s="240"/>
      <c r="H173" s="158">
        <f>H172</f>
        <v>0</v>
      </c>
      <c r="I173" s="158"/>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row>
    <row r="174" spans="1:114" s="245" customFormat="1" ht="24" customHeight="1">
      <c r="A174" s="366" t="s">
        <v>315</v>
      </c>
      <c r="B174" s="402"/>
      <c r="C174" s="361"/>
      <c r="D174" s="287"/>
      <c r="E174" s="214"/>
      <c r="F174" s="156"/>
      <c r="G174" s="240"/>
      <c r="H174" s="259"/>
      <c r="I174" s="207"/>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row>
    <row r="175" spans="1:114" s="245" customFormat="1" ht="19.5" customHeight="1">
      <c r="A175" s="372"/>
      <c r="B175" s="403"/>
      <c r="C175" s="375"/>
      <c r="D175" s="261"/>
      <c r="E175" s="276"/>
      <c r="F175" s="156"/>
      <c r="G175" s="240"/>
      <c r="H175" s="158"/>
      <c r="I175" s="158"/>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row>
    <row r="176" spans="1:114" s="245" customFormat="1" ht="24" customHeight="1">
      <c r="A176" s="267" t="s">
        <v>20</v>
      </c>
      <c r="B176" s="220">
        <f>B174</f>
        <v>0</v>
      </c>
      <c r="C176" s="362"/>
      <c r="D176" s="220">
        <f>D174+D175</f>
        <v>0</v>
      </c>
      <c r="E176" s="289"/>
      <c r="F176" s="156"/>
      <c r="G176" s="240"/>
      <c r="H176" s="158">
        <f>H174+H175</f>
        <v>0</v>
      </c>
      <c r="I176" s="158"/>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row>
    <row r="177" spans="1:114" s="245" customFormat="1" ht="39" customHeight="1">
      <c r="A177" s="157" t="s">
        <v>318</v>
      </c>
      <c r="B177" s="261"/>
      <c r="C177" s="215"/>
      <c r="D177" s="286"/>
      <c r="E177" s="214"/>
      <c r="F177" s="156"/>
      <c r="G177" s="240"/>
      <c r="H177" s="152"/>
      <c r="I177" s="207"/>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row>
    <row r="178" spans="1:114" s="245" customFormat="1" ht="24.75" customHeight="1" thickBot="1">
      <c r="A178" s="229" t="s">
        <v>20</v>
      </c>
      <c r="B178" s="238">
        <f>B177</f>
        <v>0</v>
      </c>
      <c r="C178" s="146"/>
      <c r="D178" s="294">
        <f>D177</f>
        <v>0</v>
      </c>
      <c r="E178" s="220"/>
      <c r="F178" s="159"/>
      <c r="G178" s="240"/>
      <c r="H178" s="250">
        <f>H177</f>
        <v>0</v>
      </c>
      <c r="I178" s="158"/>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c r="DE178" s="244"/>
      <c r="DF178" s="244"/>
      <c r="DG178" s="244"/>
      <c r="DH178" s="244"/>
      <c r="DI178" s="244"/>
      <c r="DJ178" s="244"/>
    </row>
    <row r="179" spans="1:114" s="269" customFormat="1" ht="60.75" customHeight="1" thickBot="1">
      <c r="A179" s="253" t="s">
        <v>324</v>
      </c>
      <c r="B179" s="220">
        <f>SUM(B169+B66+B69+B77+B81+B84+B87+B93+B110+B113+B116+B125+B128+B176+B131+B135+B138+B141+B144+B148+B152+B155+B158+B163+B165+B167+B171+B173+B178)</f>
        <v>64918.49</v>
      </c>
      <c r="C179" s="220"/>
      <c r="D179" s="308">
        <f>SUM(D169+D66+D69+D77+D81+D176+D84+D87+D93+D110+D113+D116+D125+D128+D131+D135+D138+D141+D144+D148+D152+D155+D158+D163+D165+D167+D171+D173+D178+D161)</f>
        <v>3847408.0900000003</v>
      </c>
      <c r="E179" s="220">
        <f>SUM(E169+E66+E69+E77+E81+E176+E84+E87+E93+E110+E113+E116+E125+E128+E131+E135+E138+E141+E144+E148+E152+E155+E158+E163+E165+E167+E171+E173+E178)</f>
        <v>0</v>
      </c>
      <c r="F179" s="220">
        <f>SUM(F169+F66+F69+F77+F81+F176+F84+F87+F93+F110+F113+F116+F125+F128+F131+F135+F138+F141+F144+F148+F152+F155+F158+F163+F165+F167+F171+F173+F178)</f>
        <v>0</v>
      </c>
      <c r="G179" s="220">
        <f>SUM(G169+G66+G69+G77+G81+G176+G84+G87+G93+G110+G113+G116+G125+G128+G131+G135+G138+G141+G144+G148+G152+G155+G158+G163+G165+G167+G171+G173+G178)</f>
        <v>0</v>
      </c>
      <c r="H179" s="220">
        <f>SUM(H169+H66+H69+H77+H81+H176+H84+H87+H93+H110+H113+H116+H125+H128+H131+H135+H138+H141+H144+H148+H152+H155+H158+H163+H165+H167+H171+H173+H178)+H161</f>
        <v>0</v>
      </c>
      <c r="I179" s="220">
        <f>SUM(I169+I66+I69+I77+I81+I176+I84+I87+I93+I110+I113+I116+I125+I128+I131+I135+I138+I141+I144+I148+I152+I155+I158+I163+I165+I167+I171+I173+I178)</f>
        <v>0</v>
      </c>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8"/>
      <c r="AR179" s="268"/>
      <c r="AS179" s="268"/>
      <c r="AT179" s="268"/>
      <c r="AU179" s="268"/>
      <c r="AV179" s="268"/>
      <c r="AW179" s="268"/>
      <c r="AX179" s="268"/>
      <c r="AY179" s="268"/>
      <c r="AZ179" s="268"/>
      <c r="BA179" s="268"/>
      <c r="BB179" s="268"/>
      <c r="BC179" s="268"/>
      <c r="BD179" s="268"/>
      <c r="BE179" s="268"/>
      <c r="BF179" s="268"/>
      <c r="BG179" s="268"/>
      <c r="BH179" s="268"/>
      <c r="BI179" s="268"/>
      <c r="BJ179" s="268"/>
      <c r="BK179" s="268"/>
      <c r="BL179" s="268"/>
      <c r="BM179" s="268"/>
      <c r="BN179" s="268"/>
      <c r="BO179" s="268"/>
      <c r="BP179" s="268"/>
      <c r="BQ179" s="268"/>
      <c r="BR179" s="268"/>
      <c r="BS179" s="268"/>
      <c r="BT179" s="268"/>
      <c r="BU179" s="268"/>
      <c r="BV179" s="268"/>
      <c r="BW179" s="268"/>
      <c r="BX179" s="268"/>
      <c r="BY179" s="268"/>
      <c r="BZ179" s="268"/>
      <c r="CA179" s="268"/>
      <c r="CB179" s="268"/>
      <c r="CC179" s="268"/>
      <c r="CD179" s="268"/>
      <c r="CE179" s="268"/>
      <c r="CF179" s="268"/>
      <c r="CG179" s="268"/>
      <c r="CH179" s="268"/>
      <c r="CI179" s="268"/>
      <c r="CJ179" s="268"/>
      <c r="CK179" s="268"/>
      <c r="CL179" s="268"/>
      <c r="CM179" s="268"/>
      <c r="CN179" s="268"/>
      <c r="CO179" s="268"/>
      <c r="CP179" s="268"/>
      <c r="CQ179" s="268"/>
      <c r="CR179" s="268"/>
      <c r="CS179" s="268"/>
      <c r="CT179" s="268"/>
      <c r="CU179" s="268"/>
      <c r="CV179" s="268"/>
      <c r="CW179" s="268"/>
      <c r="CX179" s="268"/>
      <c r="CY179" s="268"/>
      <c r="CZ179" s="268"/>
      <c r="DA179" s="268"/>
      <c r="DB179" s="268"/>
      <c r="DC179" s="268"/>
      <c r="DD179" s="268"/>
      <c r="DE179" s="268"/>
      <c r="DF179" s="268"/>
      <c r="DG179" s="268"/>
      <c r="DH179" s="268"/>
      <c r="DI179" s="268"/>
      <c r="DJ179" s="268"/>
    </row>
    <row r="180" spans="1:114" s="269" customFormat="1" ht="79.5" customHeight="1" thickBot="1">
      <c r="A180" s="229" t="s">
        <v>325</v>
      </c>
      <c r="B180" s="221">
        <f>SUM(B63+B179)</f>
        <v>187965.7</v>
      </c>
      <c r="C180" s="221"/>
      <c r="D180" s="309">
        <f aca="true" t="shared" si="0" ref="D180:I180">D179+D63</f>
        <v>3942046.49</v>
      </c>
      <c r="E180" s="221">
        <f t="shared" si="0"/>
        <v>0</v>
      </c>
      <c r="F180" s="221">
        <f t="shared" si="0"/>
        <v>0</v>
      </c>
      <c r="G180" s="221">
        <f t="shared" si="0"/>
        <v>0</v>
      </c>
      <c r="H180" s="221">
        <f t="shared" si="0"/>
        <v>0</v>
      </c>
      <c r="I180" s="221">
        <f t="shared" si="0"/>
        <v>0</v>
      </c>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8"/>
      <c r="BC180" s="268"/>
      <c r="BD180" s="268"/>
      <c r="BE180" s="268"/>
      <c r="BF180" s="268"/>
      <c r="BG180" s="268"/>
      <c r="BH180" s="268"/>
      <c r="BI180" s="268"/>
      <c r="BJ180" s="268"/>
      <c r="BK180" s="268"/>
      <c r="BL180" s="268"/>
      <c r="BM180" s="268"/>
      <c r="BN180" s="268"/>
      <c r="BO180" s="268"/>
      <c r="BP180" s="268"/>
      <c r="BQ180" s="268"/>
      <c r="BR180" s="268"/>
      <c r="BS180" s="268"/>
      <c r="BT180" s="268"/>
      <c r="BU180" s="268"/>
      <c r="BV180" s="268"/>
      <c r="BW180" s="268"/>
      <c r="BX180" s="268"/>
      <c r="BY180" s="268"/>
      <c r="BZ180" s="268"/>
      <c r="CA180" s="268"/>
      <c r="CB180" s="268"/>
      <c r="CC180" s="268"/>
      <c r="CD180" s="268"/>
      <c r="CE180" s="268"/>
      <c r="CF180" s="268"/>
      <c r="CG180" s="268"/>
      <c r="CH180" s="268"/>
      <c r="CI180" s="268"/>
      <c r="CJ180" s="268"/>
      <c r="CK180" s="268"/>
      <c r="CL180" s="268"/>
      <c r="CM180" s="268"/>
      <c r="CN180" s="268"/>
      <c r="CO180" s="268"/>
      <c r="CP180" s="268"/>
      <c r="CQ180" s="268"/>
      <c r="CR180" s="268"/>
      <c r="CS180" s="268"/>
      <c r="CT180" s="268"/>
      <c r="CU180" s="268"/>
      <c r="CV180" s="268"/>
      <c r="CW180" s="268"/>
      <c r="CX180" s="268"/>
      <c r="CY180" s="268"/>
      <c r="CZ180" s="268"/>
      <c r="DA180" s="268"/>
      <c r="DB180" s="268"/>
      <c r="DC180" s="268"/>
      <c r="DD180" s="268"/>
      <c r="DE180" s="268"/>
      <c r="DF180" s="268"/>
      <c r="DG180" s="268"/>
      <c r="DH180" s="268"/>
      <c r="DI180" s="268"/>
      <c r="DJ180" s="268"/>
    </row>
    <row r="181" spans="1:114" s="272" customFormat="1" ht="9.75" customHeight="1" hidden="1">
      <c r="A181" s="222"/>
      <c r="B181" s="270"/>
      <c r="C181" s="222"/>
      <c r="D181" s="295"/>
      <c r="E181" s="273"/>
      <c r="F181" s="271"/>
      <c r="G181" s="271"/>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232"/>
      <c r="BY181" s="232"/>
      <c r="BZ181" s="232"/>
      <c r="CA181" s="232"/>
      <c r="CB181" s="232"/>
      <c r="CC181" s="232"/>
      <c r="CD181" s="232"/>
      <c r="CE181" s="232"/>
      <c r="CF181" s="232"/>
      <c r="CG181" s="232"/>
      <c r="CH181" s="232"/>
      <c r="CI181" s="232"/>
      <c r="CJ181" s="232"/>
      <c r="CK181" s="232"/>
      <c r="CL181" s="232"/>
      <c r="CM181" s="232"/>
      <c r="CN181" s="232"/>
      <c r="CO181" s="232"/>
      <c r="CP181" s="232"/>
      <c r="CQ181" s="232"/>
      <c r="CR181" s="232"/>
      <c r="CS181" s="232"/>
      <c r="CT181" s="232"/>
      <c r="CU181" s="232"/>
      <c r="CV181" s="232"/>
      <c r="CW181" s="232"/>
      <c r="CX181" s="232"/>
      <c r="CY181" s="232"/>
      <c r="CZ181" s="232"/>
      <c r="DA181" s="232"/>
      <c r="DB181" s="232"/>
      <c r="DC181" s="232"/>
      <c r="DD181" s="232"/>
      <c r="DE181" s="232"/>
      <c r="DF181" s="232"/>
      <c r="DG181" s="232"/>
      <c r="DH181" s="232"/>
      <c r="DI181" s="232"/>
      <c r="DJ181" s="232"/>
    </row>
    <row r="182" spans="1:114" s="272" customFormat="1" ht="33" customHeight="1">
      <c r="A182" s="223" t="s">
        <v>326</v>
      </c>
      <c r="B182" s="273"/>
      <c r="C182" s="223"/>
      <c r="D182" s="295"/>
      <c r="E182" s="273" t="s">
        <v>34</v>
      </c>
      <c r="F182" s="271"/>
      <c r="G182" s="223" t="s">
        <v>343</v>
      </c>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32"/>
      <c r="AT182" s="232"/>
      <c r="AU182" s="232"/>
      <c r="AV182" s="232"/>
      <c r="AW182" s="232"/>
      <c r="AX182" s="232"/>
      <c r="AY182" s="232"/>
      <c r="AZ182" s="232"/>
      <c r="BA182" s="232"/>
      <c r="BB182" s="232"/>
      <c r="BC182" s="232"/>
      <c r="BD182" s="232"/>
      <c r="BE182" s="232"/>
      <c r="BF182" s="232"/>
      <c r="BG182" s="232"/>
      <c r="BH182" s="232"/>
      <c r="BI182" s="232"/>
      <c r="BJ182" s="232"/>
      <c r="BK182" s="232"/>
      <c r="BL182" s="232"/>
      <c r="BM182" s="232"/>
      <c r="BN182" s="232"/>
      <c r="BO182" s="232"/>
      <c r="BP182" s="232"/>
      <c r="BQ182" s="232"/>
      <c r="BR182" s="232"/>
      <c r="BS182" s="232"/>
      <c r="BT182" s="232"/>
      <c r="BU182" s="232"/>
      <c r="BV182" s="232"/>
      <c r="BW182" s="232"/>
      <c r="BX182" s="232"/>
      <c r="BY182" s="232"/>
      <c r="BZ182" s="232"/>
      <c r="CA182" s="232"/>
      <c r="CB182" s="232"/>
      <c r="CC182" s="232"/>
      <c r="CD182" s="232"/>
      <c r="CE182" s="232"/>
      <c r="CF182" s="232"/>
      <c r="CG182" s="232"/>
      <c r="CH182" s="232"/>
      <c r="CI182" s="232"/>
      <c r="CJ182" s="232"/>
      <c r="CK182" s="232"/>
      <c r="CL182" s="232"/>
      <c r="CM182" s="232"/>
      <c r="CN182" s="232"/>
      <c r="CO182" s="232"/>
      <c r="CP182" s="232"/>
      <c r="CQ182" s="232"/>
      <c r="CR182" s="232"/>
      <c r="CS182" s="232"/>
      <c r="CT182" s="232"/>
      <c r="CU182" s="232"/>
      <c r="CV182" s="232"/>
      <c r="CW182" s="232"/>
      <c r="CX182" s="232"/>
      <c r="CY182" s="232"/>
      <c r="CZ182" s="232"/>
      <c r="DA182" s="232"/>
      <c r="DB182" s="232"/>
      <c r="DC182" s="232"/>
      <c r="DD182" s="232"/>
      <c r="DE182" s="232"/>
      <c r="DF182" s="232"/>
      <c r="DG182" s="232"/>
      <c r="DH182" s="232"/>
      <c r="DI182" s="232"/>
      <c r="DJ182" s="232"/>
    </row>
    <row r="183" spans="1:9" ht="20.25" customHeight="1">
      <c r="A183" s="222" t="s">
        <v>35</v>
      </c>
      <c r="B183" s="270"/>
      <c r="C183" s="224"/>
      <c r="D183" s="296"/>
      <c r="E183" s="300"/>
      <c r="F183" s="222"/>
      <c r="G183" s="222" t="s">
        <v>344</v>
      </c>
      <c r="H183" s="182"/>
      <c r="I183" s="182"/>
    </row>
    <row r="184" spans="1:10" ht="20.25" customHeight="1">
      <c r="A184" s="224" t="s">
        <v>345</v>
      </c>
      <c r="B184" s="224"/>
      <c r="C184" s="224"/>
      <c r="D184" s="295"/>
      <c r="E184" s="298"/>
      <c r="F184" s="274"/>
      <c r="G184" s="274"/>
      <c r="H184" s="182"/>
      <c r="I184" s="246"/>
      <c r="J184" s="182" t="s">
        <v>327</v>
      </c>
    </row>
    <row r="185" spans="1:9" ht="20.25" customHeight="1">
      <c r="A185" s="224" t="s">
        <v>346</v>
      </c>
      <c r="B185" s="224"/>
      <c r="C185" s="224"/>
      <c r="D185" s="295"/>
      <c r="E185" s="298"/>
      <c r="F185" s="274"/>
      <c r="G185" s="274"/>
      <c r="H185" s="182"/>
      <c r="I185" s="182"/>
    </row>
    <row r="186" spans="1:9" ht="12" customHeight="1">
      <c r="A186" s="182"/>
      <c r="B186" s="225"/>
      <c r="C186" s="225"/>
      <c r="D186" s="297"/>
      <c r="E186" s="225"/>
      <c r="F186" s="182"/>
      <c r="G186" s="182"/>
      <c r="H186" s="182"/>
      <c r="I186" s="182"/>
    </row>
    <row r="187" spans="1:9" ht="15.75">
      <c r="A187" s="182"/>
      <c r="B187" s="225"/>
      <c r="C187" s="225"/>
      <c r="D187" s="297"/>
      <c r="E187" s="225"/>
      <c r="F187" s="182"/>
      <c r="G187" s="182"/>
      <c r="H187" s="182"/>
      <c r="I187" s="182"/>
    </row>
    <row r="188" spans="1:9" ht="15.75">
      <c r="A188" s="182"/>
      <c r="B188" s="225"/>
      <c r="C188" s="225"/>
      <c r="D188" s="297"/>
      <c r="E188" s="225"/>
      <c r="F188" s="182"/>
      <c r="G188" s="182"/>
      <c r="H188" s="182"/>
      <c r="I188" s="182"/>
    </row>
  </sheetData>
  <sheetProtection/>
  <mergeCells count="166">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E26:E27"/>
    <mergeCell ref="F26:F27"/>
    <mergeCell ref="A18:A19"/>
    <mergeCell ref="A20:A21"/>
    <mergeCell ref="B20:B21"/>
    <mergeCell ref="C20:C21"/>
    <mergeCell ref="A23:A24"/>
    <mergeCell ref="B23:B24"/>
    <mergeCell ref="C23:C24"/>
    <mergeCell ref="G26:G27"/>
    <mergeCell ref="H26:H27"/>
    <mergeCell ref="I26:I27"/>
    <mergeCell ref="A30:A31"/>
    <mergeCell ref="B30:B31"/>
    <mergeCell ref="C30:C31"/>
    <mergeCell ref="A26:A28"/>
    <mergeCell ref="B26:B28"/>
    <mergeCell ref="C26:C28"/>
    <mergeCell ref="D26:D27"/>
    <mergeCell ref="A33:A34"/>
    <mergeCell ref="B33:B34"/>
    <mergeCell ref="C33:C34"/>
    <mergeCell ref="A36:A37"/>
    <mergeCell ref="B36:B37"/>
    <mergeCell ref="C36:C38"/>
    <mergeCell ref="D36:D37"/>
    <mergeCell ref="E36:E37"/>
    <mergeCell ref="A39:A40"/>
    <mergeCell ref="B39:B40"/>
    <mergeCell ref="C39:C40"/>
    <mergeCell ref="A42:A43"/>
    <mergeCell ref="B42:B43"/>
    <mergeCell ref="C42:C44"/>
    <mergeCell ref="A45:A46"/>
    <mergeCell ref="B45:B46"/>
    <mergeCell ref="C45:C46"/>
    <mergeCell ref="A48:A49"/>
    <mergeCell ref="B48:B49"/>
    <mergeCell ref="C48:C49"/>
    <mergeCell ref="A51:A52"/>
    <mergeCell ref="B51:B52"/>
    <mergeCell ref="C51:C52"/>
    <mergeCell ref="A54:A55"/>
    <mergeCell ref="B54:B55"/>
    <mergeCell ref="C54:C56"/>
    <mergeCell ref="A57:A58"/>
    <mergeCell ref="B57:B58"/>
    <mergeCell ref="C57:C58"/>
    <mergeCell ref="A60:A61"/>
    <mergeCell ref="B60:B61"/>
    <mergeCell ref="C60:C61"/>
    <mergeCell ref="A64:A65"/>
    <mergeCell ref="B64:B65"/>
    <mergeCell ref="C64:C66"/>
    <mergeCell ref="A67:A68"/>
    <mergeCell ref="B67:B68"/>
    <mergeCell ref="C67:C69"/>
    <mergeCell ref="A70:A76"/>
    <mergeCell ref="B70:B76"/>
    <mergeCell ref="C70:C76"/>
    <mergeCell ref="F70:F76"/>
    <mergeCell ref="G70:G76"/>
    <mergeCell ref="A78:A80"/>
    <mergeCell ref="B78:B80"/>
    <mergeCell ref="C78:C80"/>
    <mergeCell ref="F78:F80"/>
    <mergeCell ref="G78:G80"/>
    <mergeCell ref="A82:A83"/>
    <mergeCell ref="B82:B83"/>
    <mergeCell ref="C82:C83"/>
    <mergeCell ref="F82:F83"/>
    <mergeCell ref="G82:G83"/>
    <mergeCell ref="A85:A86"/>
    <mergeCell ref="B85:B86"/>
    <mergeCell ref="F85:F86"/>
    <mergeCell ref="G85:G86"/>
    <mergeCell ref="A88:A92"/>
    <mergeCell ref="B88:B92"/>
    <mergeCell ref="C88:C93"/>
    <mergeCell ref="F88:F92"/>
    <mergeCell ref="G88:G92"/>
    <mergeCell ref="A104:A109"/>
    <mergeCell ref="B104:B109"/>
    <mergeCell ref="C104:C110"/>
    <mergeCell ref="F104:F109"/>
    <mergeCell ref="G104:G109"/>
    <mergeCell ref="A111:A112"/>
    <mergeCell ref="B111:B112"/>
    <mergeCell ref="F111:F112"/>
    <mergeCell ref="G111:G112"/>
    <mergeCell ref="A114:A115"/>
    <mergeCell ref="B114:B115"/>
    <mergeCell ref="C114:C115"/>
    <mergeCell ref="F114:F115"/>
    <mergeCell ref="G114:G115"/>
    <mergeCell ref="A117:A123"/>
    <mergeCell ref="B117:B123"/>
    <mergeCell ref="F117:F123"/>
    <mergeCell ref="G117:G123"/>
    <mergeCell ref="C118:C123"/>
    <mergeCell ref="A126:A127"/>
    <mergeCell ref="B126:B127"/>
    <mergeCell ref="C126:C127"/>
    <mergeCell ref="F126:F127"/>
    <mergeCell ref="G126:G127"/>
    <mergeCell ref="A129:A130"/>
    <mergeCell ref="B129:B130"/>
    <mergeCell ref="F129:F130"/>
    <mergeCell ref="G129:G130"/>
    <mergeCell ref="A132:A134"/>
    <mergeCell ref="B132:B134"/>
    <mergeCell ref="C132:C134"/>
    <mergeCell ref="F132:F134"/>
    <mergeCell ref="G132:G134"/>
    <mergeCell ref="A136:A137"/>
    <mergeCell ref="B136:B137"/>
    <mergeCell ref="F136:F137"/>
    <mergeCell ref="G136:G137"/>
    <mergeCell ref="A139:A140"/>
    <mergeCell ref="B139:B140"/>
    <mergeCell ref="C139:C140"/>
    <mergeCell ref="F139:F140"/>
    <mergeCell ref="G139:G140"/>
    <mergeCell ref="G153:G154"/>
    <mergeCell ref="A142:A143"/>
    <mergeCell ref="B142:B143"/>
    <mergeCell ref="F142:F143"/>
    <mergeCell ref="G142:G143"/>
    <mergeCell ref="A145:A147"/>
    <mergeCell ref="B145:B147"/>
    <mergeCell ref="C145:C146"/>
    <mergeCell ref="F145:F147"/>
    <mergeCell ref="G145:G147"/>
    <mergeCell ref="G156:G157"/>
    <mergeCell ref="A159:A160"/>
    <mergeCell ref="B159:B160"/>
    <mergeCell ref="A149:A151"/>
    <mergeCell ref="B149:B151"/>
    <mergeCell ref="F149:F151"/>
    <mergeCell ref="G149:G151"/>
    <mergeCell ref="A153:A154"/>
    <mergeCell ref="B153:B154"/>
    <mergeCell ref="F153:F154"/>
    <mergeCell ref="A174:A175"/>
    <mergeCell ref="B174:B175"/>
    <mergeCell ref="C174:C176"/>
    <mergeCell ref="A156:A157"/>
    <mergeCell ref="B156:B157"/>
    <mergeCell ref="F156:F157"/>
  </mergeCells>
  <printOptions/>
  <pageMargins left="0.5118110236220472" right="0.11811023622047245" top="0.35433070866141736" bottom="0.35433070866141736" header="0.31496062992125984" footer="0.31496062992125984"/>
  <pageSetup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dimension ref="A1:DJ138"/>
  <sheetViews>
    <sheetView zoomScale="66" zoomScaleNormal="66" zoomScalePageLayoutView="0" workbookViewId="0" topLeftCell="A1">
      <selection activeCell="A1" sqref="A1:IV16384"/>
    </sheetView>
  </sheetViews>
  <sheetFormatPr defaultColWidth="25.7109375" defaultRowHeight="15"/>
  <cols>
    <col min="1" max="1" width="16.8515625" style="1" customWidth="1"/>
    <col min="2" max="2" width="19.7109375" style="1" customWidth="1"/>
    <col min="3" max="3" width="32.57421875" style="5" customWidth="1"/>
    <col min="4" max="4" width="18.28125" style="1" customWidth="1"/>
    <col min="5" max="5" width="25.7109375" style="1" customWidth="1"/>
    <col min="6" max="6" width="12.00390625" style="1" customWidth="1"/>
    <col min="7" max="7" width="17.8515625" style="1" customWidth="1"/>
    <col min="8" max="8" width="15.421875" style="1" customWidth="1"/>
    <col min="9" max="9" width="21.7109375" style="1" customWidth="1"/>
    <col min="10" max="114" width="25.7109375" style="2" customWidth="1"/>
    <col min="115" max="16384" width="25.710937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292</v>
      </c>
      <c r="B6" s="364"/>
      <c r="C6" s="364"/>
      <c r="D6" s="364"/>
      <c r="E6" s="364"/>
      <c r="F6" s="364"/>
      <c r="G6" s="364"/>
      <c r="H6" s="364"/>
      <c r="I6" s="364"/>
    </row>
    <row r="7" spans="1:114" s="4" customFormat="1" ht="26.25" customHeight="1">
      <c r="A7" s="364" t="s">
        <v>27</v>
      </c>
      <c r="B7" s="364"/>
      <c r="C7" s="364"/>
      <c r="D7" s="364"/>
      <c r="E7" s="364"/>
      <c r="F7" s="364"/>
      <c r="G7" s="364"/>
      <c r="H7" s="364"/>
      <c r="I7" s="364"/>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row>
    <row r="8" spans="1:114" s="10" customFormat="1" ht="19.5" customHeight="1">
      <c r="A8" s="420" t="s">
        <v>28</v>
      </c>
      <c r="B8" s="420" t="s">
        <v>0</v>
      </c>
      <c r="C8" s="420"/>
      <c r="D8" s="420"/>
      <c r="E8" s="420"/>
      <c r="F8" s="420" t="s">
        <v>1</v>
      </c>
      <c r="G8" s="420"/>
      <c r="H8" s="420"/>
      <c r="I8" s="420"/>
      <c r="J8" s="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0" customFormat="1" ht="13.5" customHeight="1">
      <c r="A9" s="420"/>
      <c r="B9" s="420" t="s">
        <v>2</v>
      </c>
      <c r="C9" s="420"/>
      <c r="D9" s="420" t="s">
        <v>23</v>
      </c>
      <c r="E9" s="420"/>
      <c r="F9" s="420" t="s">
        <v>2</v>
      </c>
      <c r="G9" s="420"/>
      <c r="H9" s="420" t="s">
        <v>3</v>
      </c>
      <c r="I9" s="421"/>
      <c r="J9" s="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0" customFormat="1" ht="26.25" customHeight="1">
      <c r="A10" s="420"/>
      <c r="B10" s="420"/>
      <c r="C10" s="420"/>
      <c r="D10" s="420"/>
      <c r="E10" s="420"/>
      <c r="F10" s="420"/>
      <c r="G10" s="420"/>
      <c r="H10" s="421"/>
      <c r="I10" s="421"/>
      <c r="J10" s="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0" customFormat="1" ht="57" customHeight="1">
      <c r="A11" s="420"/>
      <c r="B11" s="19" t="s">
        <v>22</v>
      </c>
      <c r="C11" s="20" t="s">
        <v>4</v>
      </c>
      <c r="D11" s="19" t="s">
        <v>22</v>
      </c>
      <c r="E11" s="207" t="s">
        <v>5</v>
      </c>
      <c r="F11" s="19" t="s">
        <v>22</v>
      </c>
      <c r="G11" s="19" t="s">
        <v>4</v>
      </c>
      <c r="H11" s="19" t="s">
        <v>22</v>
      </c>
      <c r="I11" s="19" t="s">
        <v>6</v>
      </c>
      <c r="J11" s="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0" customFormat="1" ht="39" customHeight="1">
      <c r="A12" s="422" t="s">
        <v>24</v>
      </c>
      <c r="B12" s="423">
        <f>518.5+524</f>
        <v>1042.5</v>
      </c>
      <c r="C12" s="424" t="s">
        <v>277</v>
      </c>
      <c r="D12" s="23"/>
      <c r="E12" s="188"/>
      <c r="F12" s="25"/>
      <c r="G12" s="97"/>
      <c r="H12" s="26"/>
      <c r="I12" s="26"/>
      <c r="J12" s="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0" customFormat="1" ht="27" customHeight="1">
      <c r="A13" s="422"/>
      <c r="B13" s="423"/>
      <c r="C13" s="424"/>
      <c r="D13" s="23"/>
      <c r="E13" s="189"/>
      <c r="F13" s="25"/>
      <c r="G13" s="97"/>
      <c r="H13" s="26"/>
      <c r="I13" s="26"/>
      <c r="J13" s="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3" customFormat="1" ht="20.25" customHeight="1">
      <c r="A14" s="27" t="s">
        <v>19</v>
      </c>
      <c r="B14" s="48">
        <f>SUM(B12:B13)</f>
        <v>1042.5</v>
      </c>
      <c r="C14" s="94"/>
      <c r="D14" s="29"/>
      <c r="E14" s="190"/>
      <c r="F14" s="31"/>
      <c r="G14" s="98"/>
      <c r="H14" s="27"/>
      <c r="I14" s="27"/>
      <c r="J14" s="11"/>
      <c r="K14" s="183"/>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10" customFormat="1" ht="50.25" customHeight="1">
      <c r="A15" s="44" t="s">
        <v>7</v>
      </c>
      <c r="B15" s="179">
        <f>190.5+398.7</f>
        <v>589.2</v>
      </c>
      <c r="C15" s="40" t="s">
        <v>278</v>
      </c>
      <c r="D15" s="23"/>
      <c r="E15" s="119"/>
      <c r="F15" s="25"/>
      <c r="G15" s="97"/>
      <c r="H15" s="26"/>
      <c r="I15" s="26"/>
      <c r="J15" s="9"/>
      <c r="K15" s="18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3" customFormat="1" ht="22.5" customHeight="1">
      <c r="A16" s="27" t="s">
        <v>19</v>
      </c>
      <c r="B16" s="48">
        <f>SUM(B15)</f>
        <v>589.2</v>
      </c>
      <c r="C16" s="40"/>
      <c r="D16" s="191"/>
      <c r="E16" s="190"/>
      <c r="F16" s="31"/>
      <c r="G16" s="98"/>
      <c r="H16" s="27"/>
      <c r="I16" s="27"/>
      <c r="J16" s="11"/>
      <c r="K16" s="18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s="13" customFormat="1" ht="96.75" customHeight="1">
      <c r="A17" s="44" t="s">
        <v>32</v>
      </c>
      <c r="B17" s="179">
        <f>782.4+7116+4805</f>
        <v>12703.4</v>
      </c>
      <c r="C17" s="40" t="s">
        <v>293</v>
      </c>
      <c r="D17" s="21"/>
      <c r="E17" s="119"/>
      <c r="F17" s="36"/>
      <c r="G17" s="97"/>
      <c r="H17" s="27"/>
      <c r="I17" s="27"/>
      <c r="J17" s="11"/>
      <c r="K17" s="183"/>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s="13" customFormat="1" ht="25.5" customHeight="1">
      <c r="A18" s="27" t="s">
        <v>19</v>
      </c>
      <c r="B18" s="48">
        <f>SUM(B17)</f>
        <v>12703.4</v>
      </c>
      <c r="C18" s="40"/>
      <c r="D18" s="29"/>
      <c r="E18" s="190"/>
      <c r="F18" s="37">
        <f>F17</f>
        <v>0</v>
      </c>
      <c r="G18" s="98"/>
      <c r="H18" s="27"/>
      <c r="I18" s="27"/>
      <c r="J18" s="11"/>
      <c r="K18" s="18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s="10" customFormat="1" ht="42" customHeight="1">
      <c r="A19" s="44" t="s">
        <v>55</v>
      </c>
      <c r="B19" s="179"/>
      <c r="C19" s="40"/>
      <c r="D19" s="192"/>
      <c r="E19" s="39"/>
      <c r="F19" s="25"/>
      <c r="G19" s="97"/>
      <c r="H19" s="26"/>
      <c r="I19" s="26"/>
      <c r="J19" s="9"/>
      <c r="K19" s="18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13" customFormat="1" ht="28.5" customHeight="1">
      <c r="A20" s="27" t="s">
        <v>20</v>
      </c>
      <c r="B20" s="48">
        <f>B19</f>
        <v>0</v>
      </c>
      <c r="C20" s="94"/>
      <c r="D20" s="23"/>
      <c r="E20" s="119"/>
      <c r="F20" s="31"/>
      <c r="G20" s="98"/>
      <c r="H20" s="27"/>
      <c r="I20" s="27"/>
      <c r="J20" s="11"/>
      <c r="K20" s="183"/>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s="10" customFormat="1" ht="45" customHeight="1">
      <c r="A21" s="44" t="s">
        <v>8</v>
      </c>
      <c r="B21" s="179">
        <f>427.5+220</f>
        <v>647.5</v>
      </c>
      <c r="C21" s="40" t="s">
        <v>242</v>
      </c>
      <c r="D21" s="192"/>
      <c r="E21" s="39"/>
      <c r="F21" s="25"/>
      <c r="G21" s="97"/>
      <c r="H21" s="41"/>
      <c r="I21" s="97"/>
      <c r="J21" s="9"/>
      <c r="K21" s="18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13" customFormat="1" ht="22.5" customHeight="1">
      <c r="A22" s="27" t="s">
        <v>20</v>
      </c>
      <c r="B22" s="48">
        <f>B21</f>
        <v>647.5</v>
      </c>
      <c r="C22" s="40"/>
      <c r="D22" s="23"/>
      <c r="E22" s="119"/>
      <c r="F22" s="31"/>
      <c r="G22" s="98"/>
      <c r="H22" s="193"/>
      <c r="I22" s="27"/>
      <c r="J22" s="11"/>
      <c r="K22" s="183"/>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s="13" customFormat="1" ht="20.25" customHeight="1">
      <c r="A23" s="422" t="s">
        <v>9</v>
      </c>
      <c r="B23" s="425">
        <f>460+440</f>
        <v>900</v>
      </c>
      <c r="C23" s="424" t="s">
        <v>242</v>
      </c>
      <c r="D23" s="428"/>
      <c r="E23" s="429"/>
      <c r="F23" s="430"/>
      <c r="G23" s="427"/>
      <c r="H23" s="426"/>
      <c r="I23" s="426"/>
      <c r="J23" s="11"/>
      <c r="K23" s="183"/>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s="13" customFormat="1" ht="31.5" customHeight="1">
      <c r="A24" s="422"/>
      <c r="B24" s="425"/>
      <c r="C24" s="424"/>
      <c r="D24" s="428"/>
      <c r="E24" s="429"/>
      <c r="F24" s="430"/>
      <c r="G24" s="427"/>
      <c r="H24" s="426"/>
      <c r="I24" s="426"/>
      <c r="J24" s="11"/>
      <c r="K24" s="183"/>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13" customFormat="1" ht="22.5" customHeight="1">
      <c r="A25" s="27" t="s">
        <v>20</v>
      </c>
      <c r="B25" s="48">
        <f>SUM(B23:B24)</f>
        <v>900</v>
      </c>
      <c r="C25" s="173"/>
      <c r="D25" s="23"/>
      <c r="E25" s="119"/>
      <c r="F25" s="74"/>
      <c r="G25" s="98"/>
      <c r="H25" s="60"/>
      <c r="I25" s="60"/>
      <c r="J25" s="11"/>
      <c r="K25" s="183"/>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s="10" customFormat="1" ht="38.25" customHeight="1">
      <c r="A26" s="44" t="s">
        <v>10</v>
      </c>
      <c r="B26" s="179"/>
      <c r="C26" s="173"/>
      <c r="D26" s="23"/>
      <c r="E26" s="119"/>
      <c r="F26" s="59"/>
      <c r="G26" s="97"/>
      <c r="H26" s="19"/>
      <c r="I26" s="19"/>
      <c r="J26" s="9"/>
      <c r="K26" s="18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13" customFormat="1" ht="16.5" customHeight="1">
      <c r="A27" s="27" t="s">
        <v>20</v>
      </c>
      <c r="B27" s="48">
        <f>SUM(B26)</f>
        <v>0</v>
      </c>
      <c r="C27" s="173"/>
      <c r="D27" s="23"/>
      <c r="E27" s="119"/>
      <c r="F27" s="57"/>
      <c r="G27" s="98"/>
      <c r="H27" s="60"/>
      <c r="I27" s="60"/>
      <c r="J27" s="11"/>
      <c r="K27" s="183"/>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s="10" customFormat="1" ht="24.75" customHeight="1">
      <c r="A28" s="422" t="s">
        <v>11</v>
      </c>
      <c r="B28" s="423">
        <f>149.5+14120+143</f>
        <v>14412.5</v>
      </c>
      <c r="C28" s="424" t="s">
        <v>279</v>
      </c>
      <c r="D28" s="23"/>
      <c r="E28" s="119"/>
      <c r="F28" s="75"/>
      <c r="G28" s="97"/>
      <c r="H28" s="19"/>
      <c r="I28" s="19"/>
      <c r="J28" s="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10" customFormat="1" ht="90.75" customHeight="1">
      <c r="A29" s="422"/>
      <c r="B29" s="423"/>
      <c r="C29" s="424"/>
      <c r="D29" s="23"/>
      <c r="E29" s="119"/>
      <c r="F29" s="75"/>
      <c r="G29" s="97"/>
      <c r="H29" s="19"/>
      <c r="I29" s="19"/>
      <c r="J29" s="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13" customFormat="1" ht="21.75" customHeight="1">
      <c r="A30" s="27" t="s">
        <v>20</v>
      </c>
      <c r="B30" s="48">
        <f>SUM(B28:B29)</f>
        <v>14412.5</v>
      </c>
      <c r="C30" s="94"/>
      <c r="D30" s="19"/>
      <c r="E30" s="43"/>
      <c r="F30" s="74"/>
      <c r="G30" s="98"/>
      <c r="H30" s="60"/>
      <c r="I30" s="60"/>
      <c r="J30" s="11"/>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s="10" customFormat="1" ht="15.75" customHeight="1">
      <c r="A31" s="422" t="s">
        <v>49</v>
      </c>
      <c r="B31" s="423">
        <f>5880+613</f>
        <v>6493</v>
      </c>
      <c r="C31" s="431" t="s">
        <v>294</v>
      </c>
      <c r="D31" s="23"/>
      <c r="E31" s="119"/>
      <c r="F31" s="75"/>
      <c r="G31" s="97"/>
      <c r="H31" s="19"/>
      <c r="I31" s="19"/>
      <c r="J31" s="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10" customFormat="1" ht="40.5" customHeight="1">
      <c r="A32" s="422"/>
      <c r="B32" s="423"/>
      <c r="C32" s="432"/>
      <c r="D32" s="23"/>
      <c r="E32" s="119"/>
      <c r="F32" s="75"/>
      <c r="G32" s="97"/>
      <c r="H32" s="19"/>
      <c r="I32" s="19"/>
      <c r="J32" s="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13" customFormat="1" ht="24.75" customHeight="1">
      <c r="A33" s="27" t="s">
        <v>20</v>
      </c>
      <c r="B33" s="48">
        <f>SUM(B31:B32)</f>
        <v>6493</v>
      </c>
      <c r="C33" s="433"/>
      <c r="D33" s="19"/>
      <c r="E33" s="43"/>
      <c r="F33" s="74"/>
      <c r="G33" s="98"/>
      <c r="H33" s="60"/>
      <c r="I33" s="60"/>
      <c r="J33" s="11"/>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s="10" customFormat="1" ht="235.5" customHeight="1">
      <c r="A34" s="44" t="s">
        <v>12</v>
      </c>
      <c r="B34" s="179">
        <f>272+19520+272</f>
        <v>20064</v>
      </c>
      <c r="C34" s="40" t="s">
        <v>295</v>
      </c>
      <c r="D34" s="19"/>
      <c r="E34" s="43"/>
      <c r="F34" s="59"/>
      <c r="G34" s="97"/>
      <c r="H34" s="19"/>
      <c r="I34" s="19"/>
      <c r="J34" s="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13" customFormat="1" ht="23.25" customHeight="1">
      <c r="A35" s="27" t="s">
        <v>20</v>
      </c>
      <c r="B35" s="48">
        <f>SUM(B34)</f>
        <v>20064</v>
      </c>
      <c r="C35" s="40"/>
      <c r="D35" s="44"/>
      <c r="E35" s="45"/>
      <c r="F35" s="74"/>
      <c r="G35" s="98"/>
      <c r="H35" s="60"/>
      <c r="I35" s="60"/>
      <c r="J35" s="11"/>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s="10" customFormat="1" ht="42.75" customHeight="1">
      <c r="A36" s="44" t="s">
        <v>21</v>
      </c>
      <c r="B36" s="179">
        <v>360</v>
      </c>
      <c r="C36" s="431" t="s">
        <v>77</v>
      </c>
      <c r="D36" s="44"/>
      <c r="E36" s="43"/>
      <c r="F36" s="59"/>
      <c r="G36" s="97"/>
      <c r="H36" s="19"/>
      <c r="I36" s="19"/>
      <c r="J36" s="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13" customFormat="1" ht="24.75" customHeight="1">
      <c r="A37" s="27" t="s">
        <v>20</v>
      </c>
      <c r="B37" s="48">
        <f>SUM(B36:B36)</f>
        <v>360</v>
      </c>
      <c r="C37" s="433"/>
      <c r="D37" s="19"/>
      <c r="E37" s="43"/>
      <c r="F37" s="74"/>
      <c r="G37" s="98"/>
      <c r="H37" s="60"/>
      <c r="I37" s="60"/>
      <c r="J37" s="11"/>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s="10" customFormat="1" ht="383.25" customHeight="1">
      <c r="A38" s="44" t="s">
        <v>13</v>
      </c>
      <c r="B38" s="179">
        <f>670+746+2970+980</f>
        <v>5366</v>
      </c>
      <c r="C38" s="40" t="s">
        <v>296</v>
      </c>
      <c r="D38" s="44"/>
      <c r="E38" s="43"/>
      <c r="F38" s="43"/>
      <c r="G38" s="97"/>
      <c r="H38" s="19"/>
      <c r="I38" s="19"/>
      <c r="J38" s="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row>
    <row r="39" spans="1:114" s="13" customFormat="1" ht="22.5" customHeight="1">
      <c r="A39" s="27" t="s">
        <v>20</v>
      </c>
      <c r="B39" s="48">
        <f>SUM(B38)</f>
        <v>5366</v>
      </c>
      <c r="C39" s="40"/>
      <c r="D39" s="44"/>
      <c r="E39" s="43"/>
      <c r="F39" s="74"/>
      <c r="G39" s="98"/>
      <c r="H39" s="60"/>
      <c r="I39" s="60"/>
      <c r="J39" s="11"/>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10" customFormat="1" ht="48.75" customHeight="1">
      <c r="A40" s="44" t="s">
        <v>14</v>
      </c>
      <c r="B40" s="179"/>
      <c r="C40" s="173"/>
      <c r="D40" s="44"/>
      <c r="E40" s="43"/>
      <c r="F40" s="43"/>
      <c r="G40" s="97"/>
      <c r="H40" s="19"/>
      <c r="I40" s="19"/>
      <c r="J40" s="9"/>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row>
    <row r="41" spans="1:114" s="13" customFormat="1" ht="19.5" customHeight="1">
      <c r="A41" s="27" t="s">
        <v>20</v>
      </c>
      <c r="B41" s="48">
        <f>SUM(B40:B40)</f>
        <v>0</v>
      </c>
      <c r="C41" s="173"/>
      <c r="D41" s="44"/>
      <c r="E41" s="43"/>
      <c r="F41" s="74">
        <f>F40</f>
        <v>0</v>
      </c>
      <c r="G41" s="98"/>
      <c r="H41" s="60"/>
      <c r="I41" s="60"/>
      <c r="J41" s="11"/>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s="10" customFormat="1" ht="47.25" customHeight="1">
      <c r="A42" s="44" t="s">
        <v>15</v>
      </c>
      <c r="B42" s="179">
        <f>664+664+2680</f>
        <v>4008</v>
      </c>
      <c r="C42" s="40" t="s">
        <v>297</v>
      </c>
      <c r="D42" s="44"/>
      <c r="E42" s="45"/>
      <c r="F42" s="43"/>
      <c r="G42" s="97"/>
      <c r="H42" s="19"/>
      <c r="I42" s="19"/>
      <c r="J42" s="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row>
    <row r="43" spans="1:114" s="13" customFormat="1" ht="21.75" customHeight="1">
      <c r="A43" s="27" t="s">
        <v>20</v>
      </c>
      <c r="B43" s="48">
        <f>SUM(B42:B42)</f>
        <v>4008</v>
      </c>
      <c r="C43" s="40"/>
      <c r="D43" s="44"/>
      <c r="E43" s="45"/>
      <c r="F43" s="74"/>
      <c r="G43" s="98"/>
      <c r="H43" s="60"/>
      <c r="I43" s="60"/>
      <c r="J43" s="11"/>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s="10" customFormat="1" ht="58.5" customHeight="1">
      <c r="A44" s="44" t="s">
        <v>16</v>
      </c>
      <c r="B44" s="179">
        <v>12520</v>
      </c>
      <c r="C44" s="424" t="s">
        <v>281</v>
      </c>
      <c r="D44" s="44"/>
      <c r="E44" s="45"/>
      <c r="F44" s="43"/>
      <c r="G44" s="97"/>
      <c r="H44" s="19"/>
      <c r="I44" s="19"/>
      <c r="J44" s="9"/>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row>
    <row r="45" spans="1:114" s="13" customFormat="1" ht="20.25" customHeight="1">
      <c r="A45" s="27" t="s">
        <v>20</v>
      </c>
      <c r="B45" s="194">
        <f>SUM(B44:B44)</f>
        <v>12520</v>
      </c>
      <c r="C45" s="424"/>
      <c r="D45" s="44"/>
      <c r="E45" s="45"/>
      <c r="F45" s="74">
        <f>F44</f>
        <v>0</v>
      </c>
      <c r="G45" s="98"/>
      <c r="H45" s="60"/>
      <c r="I45" s="60"/>
      <c r="J45" s="11"/>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s="10" customFormat="1" ht="40.5" customHeight="1">
      <c r="A46" s="44" t="s">
        <v>17</v>
      </c>
      <c r="B46" s="179">
        <f>226+379.3</f>
        <v>605.3</v>
      </c>
      <c r="C46" s="424" t="s">
        <v>77</v>
      </c>
      <c r="D46" s="19"/>
      <c r="E46" s="45"/>
      <c r="F46" s="43"/>
      <c r="G46" s="97"/>
      <c r="H46" s="19"/>
      <c r="I46" s="19"/>
      <c r="J46" s="9"/>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row>
    <row r="47" spans="1:114" s="13" customFormat="1" ht="24.75" customHeight="1">
      <c r="A47" s="27" t="s">
        <v>20</v>
      </c>
      <c r="B47" s="48">
        <f>SUM(B46:B46)</f>
        <v>605.3</v>
      </c>
      <c r="C47" s="424"/>
      <c r="D47" s="44"/>
      <c r="E47" s="43"/>
      <c r="F47" s="74"/>
      <c r="G47" s="98"/>
      <c r="H47" s="60"/>
      <c r="I47" s="60"/>
      <c r="J47" s="11"/>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s="10" customFormat="1" ht="68.25" customHeight="1">
      <c r="A48" s="44" t="s">
        <v>18</v>
      </c>
      <c r="B48" s="179">
        <f>150+1800+1475</f>
        <v>3425</v>
      </c>
      <c r="C48" s="424" t="s">
        <v>298</v>
      </c>
      <c r="D48" s="44"/>
      <c r="E48" s="43"/>
      <c r="F48" s="43"/>
      <c r="G48" s="97"/>
      <c r="H48" s="19"/>
      <c r="I48" s="19"/>
      <c r="J48" s="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row>
    <row r="49" spans="1:114" s="10" customFormat="1" ht="21.75" customHeight="1" thickBot="1">
      <c r="A49" s="27" t="s">
        <v>20</v>
      </c>
      <c r="B49" s="48">
        <f>SUM(B48:B48)</f>
        <v>3425</v>
      </c>
      <c r="C49" s="424"/>
      <c r="D49" s="44"/>
      <c r="E49" s="43"/>
      <c r="F49" s="74">
        <f>F48</f>
        <v>0</v>
      </c>
      <c r="G49" s="97"/>
      <c r="H49" s="19"/>
      <c r="I49" s="19"/>
      <c r="J49" s="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row>
    <row r="50" spans="1:114" s="16" customFormat="1" ht="36.75" customHeight="1" thickBot="1">
      <c r="A50" s="195" t="s">
        <v>68</v>
      </c>
      <c r="B50" s="196">
        <f>SUM(B14+B16+B18+B20+B22+B25+B27+B30+B33+B35+B37+B39+B41+B43+B45+B47+B49)</f>
        <v>83136.40000000001</v>
      </c>
      <c r="C50" s="96"/>
      <c r="D50" s="197"/>
      <c r="E50" s="61"/>
      <c r="F50" s="198">
        <f>F41+F49+F18+F45</f>
        <v>0</v>
      </c>
      <c r="G50" s="199"/>
      <c r="H50" s="57">
        <f>H22</f>
        <v>0</v>
      </c>
      <c r="I50" s="6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row>
    <row r="51" spans="1:114" s="10" customFormat="1" ht="325.5" customHeight="1">
      <c r="A51" s="26" t="s">
        <v>41</v>
      </c>
      <c r="B51" s="179">
        <v>8815</v>
      </c>
      <c r="C51" s="424" t="s">
        <v>299</v>
      </c>
      <c r="D51" s="59"/>
      <c r="E51" s="44" t="s">
        <v>213</v>
      </c>
      <c r="F51" s="43"/>
      <c r="G51" s="97"/>
      <c r="H51" s="60"/>
      <c r="I51" s="60"/>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s="13" customFormat="1" ht="25.5" customHeight="1">
      <c r="A52" s="27" t="s">
        <v>20</v>
      </c>
      <c r="B52" s="48">
        <f>SUM(B51:B51)</f>
        <v>8815</v>
      </c>
      <c r="C52" s="424"/>
      <c r="D52" s="57">
        <f>D51</f>
        <v>0</v>
      </c>
      <c r="E52" s="61"/>
      <c r="F52" s="74">
        <f>F51</f>
        <v>0</v>
      </c>
      <c r="G52" s="98"/>
      <c r="H52" s="60"/>
      <c r="I52" s="60"/>
      <c r="J52" s="11"/>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s="10" customFormat="1" ht="35.25" customHeight="1">
      <c r="A53" s="26" t="s">
        <v>56</v>
      </c>
      <c r="B53" s="179">
        <f>953+1054.9+2435</f>
        <v>4442.9</v>
      </c>
      <c r="C53" s="424" t="s">
        <v>300</v>
      </c>
      <c r="D53" s="59"/>
      <c r="E53" s="62"/>
      <c r="F53" s="43"/>
      <c r="G53" s="97"/>
      <c r="H53" s="60"/>
      <c r="I53" s="60"/>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s="13" customFormat="1" ht="26.25" customHeight="1">
      <c r="A54" s="27" t="s">
        <v>20</v>
      </c>
      <c r="B54" s="48">
        <f>SUM(B53:B53)</f>
        <v>4442.9</v>
      </c>
      <c r="C54" s="424"/>
      <c r="D54" s="57">
        <f>D53</f>
        <v>0</v>
      </c>
      <c r="E54" s="61"/>
      <c r="F54" s="74">
        <f>F53</f>
        <v>0</v>
      </c>
      <c r="G54" s="98"/>
      <c r="H54" s="60"/>
      <c r="I54" s="60"/>
      <c r="J54" s="1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13" customFormat="1" ht="26.25" customHeight="1">
      <c r="A55" s="422" t="s">
        <v>39</v>
      </c>
      <c r="B55" s="425">
        <v>4164</v>
      </c>
      <c r="C55" s="40" t="s">
        <v>84</v>
      </c>
      <c r="D55" s="59"/>
      <c r="E55" s="45" t="s">
        <v>213</v>
      </c>
      <c r="F55" s="74"/>
      <c r="G55" s="98"/>
      <c r="H55" s="60"/>
      <c r="I55" s="60"/>
      <c r="J55" s="1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s="13" customFormat="1" ht="63.75" customHeight="1">
      <c r="A56" s="422"/>
      <c r="B56" s="425"/>
      <c r="C56" s="120" t="s">
        <v>282</v>
      </c>
      <c r="D56" s="166"/>
      <c r="E56" s="156"/>
      <c r="F56" s="43"/>
      <c r="G56" s="97"/>
      <c r="H56" s="60"/>
      <c r="I56" s="60"/>
      <c r="J56" s="11"/>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s="13" customFormat="1" ht="20.25" customHeight="1">
      <c r="A57" s="27" t="s">
        <v>20</v>
      </c>
      <c r="B57" s="48">
        <f>SUM(B55:B55)</f>
        <v>4164</v>
      </c>
      <c r="C57" s="94"/>
      <c r="D57" s="57">
        <f>SUM(D55:D56)</f>
        <v>0</v>
      </c>
      <c r="E57" s="61"/>
      <c r="F57" s="74">
        <f>F56</f>
        <v>0</v>
      </c>
      <c r="G57" s="98"/>
      <c r="H57" s="60"/>
      <c r="I57" s="60"/>
      <c r="J57" s="11"/>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s="10" customFormat="1" ht="38.25" customHeight="1">
      <c r="A58" s="44" t="s">
        <v>38</v>
      </c>
      <c r="B58" s="200"/>
      <c r="C58" s="169"/>
      <c r="D58" s="166"/>
      <c r="E58" s="78" t="s">
        <v>213</v>
      </c>
      <c r="F58" s="43"/>
      <c r="G58" s="97"/>
      <c r="H58" s="78"/>
      <c r="I58" s="1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s="13" customFormat="1" ht="19.5" customHeight="1">
      <c r="A59" s="27" t="s">
        <v>20</v>
      </c>
      <c r="B59" s="48">
        <f>SUM(B58:B58)</f>
        <v>0</v>
      </c>
      <c r="C59" s="94"/>
      <c r="D59" s="57">
        <f>D58</f>
        <v>0</v>
      </c>
      <c r="E59" s="86"/>
      <c r="F59" s="74">
        <f>F58</f>
        <v>0</v>
      </c>
      <c r="G59" s="98"/>
      <c r="H59" s="86"/>
      <c r="I59" s="6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13" customFormat="1" ht="42" customHeight="1">
      <c r="A60" s="44" t="s">
        <v>40</v>
      </c>
      <c r="B60" s="179"/>
      <c r="C60" s="40"/>
      <c r="D60" s="59"/>
      <c r="E60" s="78" t="s">
        <v>213</v>
      </c>
      <c r="F60" s="43"/>
      <c r="G60" s="97"/>
      <c r="H60" s="86"/>
      <c r="I60" s="60"/>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s="13" customFormat="1" ht="26.25" customHeight="1">
      <c r="A61" s="27" t="s">
        <v>20</v>
      </c>
      <c r="B61" s="48">
        <f>SUM(B60:B60)</f>
        <v>0</v>
      </c>
      <c r="C61" s="96"/>
      <c r="D61" s="61">
        <f>SUM(D60)</f>
        <v>0</v>
      </c>
      <c r="E61" s="61"/>
      <c r="F61" s="57">
        <f>F60</f>
        <v>0</v>
      </c>
      <c r="G61" s="98"/>
      <c r="H61" s="86"/>
      <c r="I61" s="6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1:114" s="13" customFormat="1" ht="285.75" customHeight="1">
      <c r="A62" s="444" t="s">
        <v>42</v>
      </c>
      <c r="B62" s="436">
        <v>6300</v>
      </c>
      <c r="C62" s="208" t="s">
        <v>285</v>
      </c>
      <c r="D62" s="45">
        <v>87904</v>
      </c>
      <c r="E62" s="45" t="s">
        <v>284</v>
      </c>
      <c r="F62" s="59"/>
      <c r="G62" s="97"/>
      <c r="H62" s="78"/>
      <c r="I62" s="19"/>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row>
    <row r="63" spans="1:114" s="13" customFormat="1" ht="30" customHeight="1">
      <c r="A63" s="445"/>
      <c r="B63" s="437"/>
      <c r="C63" s="40" t="s">
        <v>84</v>
      </c>
      <c r="D63" s="166"/>
      <c r="E63" s="45" t="s">
        <v>213</v>
      </c>
      <c r="F63" s="59"/>
      <c r="G63" s="97"/>
      <c r="H63" s="86"/>
      <c r="I63" s="60"/>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row>
    <row r="64" spans="1:114" s="13" customFormat="1" ht="24" customHeight="1">
      <c r="A64" s="27" t="s">
        <v>20</v>
      </c>
      <c r="B64" s="48">
        <f>SUM(B62:B63)</f>
        <v>6300</v>
      </c>
      <c r="C64" s="96"/>
      <c r="D64" s="57">
        <f>D63+D62</f>
        <v>87904</v>
      </c>
      <c r="E64" s="61"/>
      <c r="F64" s="57">
        <f>F63</f>
        <v>0</v>
      </c>
      <c r="G64" s="98"/>
      <c r="H64" s="86"/>
      <c r="I64" s="60"/>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row>
    <row r="65" spans="1:114" s="10" customFormat="1" ht="38.25" customHeight="1">
      <c r="A65" s="44" t="s">
        <v>29</v>
      </c>
      <c r="B65" s="179"/>
      <c r="C65" s="424"/>
      <c r="D65" s="45"/>
      <c r="E65" s="59" t="s">
        <v>213</v>
      </c>
      <c r="F65" s="45"/>
      <c r="G65" s="97"/>
      <c r="H65" s="43"/>
      <c r="I65" s="1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row>
    <row r="66" spans="1:114" s="13" customFormat="1" ht="24" customHeight="1">
      <c r="A66" s="27" t="s">
        <v>20</v>
      </c>
      <c r="B66" s="194">
        <f>SUM(B65:B65)</f>
        <v>0</v>
      </c>
      <c r="C66" s="424"/>
      <c r="D66" s="57">
        <f>SUM(D65)</f>
        <v>0</v>
      </c>
      <c r="E66" s="61"/>
      <c r="F66" s="57">
        <f>F65</f>
        <v>0</v>
      </c>
      <c r="G66" s="98"/>
      <c r="H66" s="74">
        <f>H65</f>
        <v>0</v>
      </c>
      <c r="I66" s="60"/>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row>
    <row r="67" spans="1:114" s="13" customFormat="1" ht="174.75" customHeight="1" hidden="1">
      <c r="A67" s="27" t="s">
        <v>20</v>
      </c>
      <c r="B67" s="48">
        <f>SUM(B65:B66)</f>
        <v>0</v>
      </c>
      <c r="C67" s="94"/>
      <c r="D67" s="61"/>
      <c r="E67" s="57"/>
      <c r="F67" s="61"/>
      <c r="G67" s="98"/>
      <c r="H67" s="86"/>
      <c r="I67" s="86"/>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row>
    <row r="68" spans="1:114" s="13" customFormat="1" ht="16.5" customHeight="1" hidden="1">
      <c r="A68" s="21" t="s">
        <v>37</v>
      </c>
      <c r="B68" s="47">
        <v>10999</v>
      </c>
      <c r="C68" s="40" t="s">
        <v>52</v>
      </c>
      <c r="D68" s="61"/>
      <c r="E68" s="57"/>
      <c r="F68" s="61"/>
      <c r="G68" s="98"/>
      <c r="H68" s="86"/>
      <c r="I68" s="86"/>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row>
    <row r="69" spans="1:114" s="10" customFormat="1" ht="17.25" customHeight="1" hidden="1">
      <c r="A69" s="21" t="s">
        <v>37</v>
      </c>
      <c r="B69" s="47">
        <v>1219</v>
      </c>
      <c r="C69" s="40" t="s">
        <v>43</v>
      </c>
      <c r="D69" s="45"/>
      <c r="E69" s="57"/>
      <c r="F69" s="45"/>
      <c r="G69" s="97"/>
      <c r="H69" s="78"/>
      <c r="I69" s="1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row>
    <row r="70" spans="1:114" s="13" customFormat="1" ht="16.5" customHeight="1" hidden="1">
      <c r="A70" s="27" t="s">
        <v>20</v>
      </c>
      <c r="B70" s="48">
        <f>SUM(B68:B69)</f>
        <v>12218</v>
      </c>
      <c r="C70" s="94"/>
      <c r="D70" s="61"/>
      <c r="E70" s="57"/>
      <c r="F70" s="61"/>
      <c r="G70" s="98"/>
      <c r="H70" s="86"/>
      <c r="I70" s="86"/>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row>
    <row r="71" spans="1:114" s="13" customFormat="1" ht="16.5" customHeight="1" hidden="1">
      <c r="A71" s="21" t="s">
        <v>30</v>
      </c>
      <c r="B71" s="181">
        <v>3133</v>
      </c>
      <c r="C71" s="40" t="s">
        <v>44</v>
      </c>
      <c r="D71" s="45"/>
      <c r="E71" s="57"/>
      <c r="F71" s="61"/>
      <c r="G71" s="98"/>
      <c r="H71" s="86"/>
      <c r="I71" s="8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row>
    <row r="72" spans="1:114" s="13" customFormat="1" ht="18.75" customHeight="1" hidden="1">
      <c r="A72" s="21" t="s">
        <v>30</v>
      </c>
      <c r="B72" s="181">
        <v>120</v>
      </c>
      <c r="C72" s="40" t="s">
        <v>36</v>
      </c>
      <c r="D72" s="45"/>
      <c r="E72" s="57"/>
      <c r="F72" s="61"/>
      <c r="G72" s="98"/>
      <c r="H72" s="86"/>
      <c r="I72" s="86"/>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row>
    <row r="73" spans="1:114" s="13" customFormat="1" ht="18.75" customHeight="1" hidden="1">
      <c r="A73" s="21" t="s">
        <v>30</v>
      </c>
      <c r="B73" s="181">
        <v>210</v>
      </c>
      <c r="C73" s="40" t="s">
        <v>36</v>
      </c>
      <c r="D73" s="45"/>
      <c r="E73" s="57"/>
      <c r="F73" s="61"/>
      <c r="G73" s="98"/>
      <c r="H73" s="86"/>
      <c r="I73" s="8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row>
    <row r="74" spans="1:114" s="13" customFormat="1" ht="16.5" customHeight="1" hidden="1">
      <c r="A74" s="27" t="s">
        <v>20</v>
      </c>
      <c r="B74" s="196">
        <f>SUM(B71:B73)</f>
        <v>3463</v>
      </c>
      <c r="C74" s="94"/>
      <c r="D74" s="61"/>
      <c r="E74" s="57"/>
      <c r="F74" s="61"/>
      <c r="G74" s="98"/>
      <c r="H74" s="86"/>
      <c r="I74" s="86"/>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row>
    <row r="75" spans="1:114" s="13" customFormat="1" ht="17.25" customHeight="1" hidden="1">
      <c r="A75" s="21" t="s">
        <v>31</v>
      </c>
      <c r="B75" s="201">
        <v>60</v>
      </c>
      <c r="C75" s="40" t="s">
        <v>48</v>
      </c>
      <c r="D75" s="201">
        <v>149639.87</v>
      </c>
      <c r="E75" s="62" t="s">
        <v>47</v>
      </c>
      <c r="F75" s="59"/>
      <c r="G75" s="98"/>
      <c r="H75" s="21"/>
      <c r="I75" s="86"/>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row>
    <row r="76" spans="1:114" s="13" customFormat="1" ht="17.25" customHeight="1" hidden="1">
      <c r="A76" s="21" t="s">
        <v>31</v>
      </c>
      <c r="B76" s="201">
        <v>3951.33</v>
      </c>
      <c r="C76" s="40" t="s">
        <v>51</v>
      </c>
      <c r="D76" s="201"/>
      <c r="E76" s="62"/>
      <c r="F76" s="59"/>
      <c r="G76" s="98"/>
      <c r="H76" s="21"/>
      <c r="I76" s="86"/>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row>
    <row r="77" spans="1:114" s="10" customFormat="1" ht="43.5" customHeight="1">
      <c r="A77" s="44" t="s">
        <v>37</v>
      </c>
      <c r="B77" s="179">
        <v>4131</v>
      </c>
      <c r="C77" s="434" t="s">
        <v>301</v>
      </c>
      <c r="D77" s="45"/>
      <c r="E77" s="59" t="s">
        <v>213</v>
      </c>
      <c r="F77" s="45"/>
      <c r="G77" s="97"/>
      <c r="H77" s="78"/>
      <c r="I77" s="1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row>
    <row r="78" spans="1:114" s="13" customFormat="1" ht="21.75" customHeight="1">
      <c r="A78" s="27" t="s">
        <v>20</v>
      </c>
      <c r="B78" s="48">
        <f>SUM(B77:B77)</f>
        <v>4131</v>
      </c>
      <c r="C78" s="434"/>
      <c r="D78" s="57">
        <f>SUM(D77)</f>
        <v>0</v>
      </c>
      <c r="E78" s="61"/>
      <c r="F78" s="57">
        <f>F77</f>
        <v>0</v>
      </c>
      <c r="G78" s="98"/>
      <c r="H78" s="86"/>
      <c r="I78" s="60"/>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row>
    <row r="79" spans="1:114" s="10" customFormat="1" ht="56.25" customHeight="1">
      <c r="A79" s="44" t="s">
        <v>30</v>
      </c>
      <c r="B79" s="179">
        <v>1350</v>
      </c>
      <c r="C79" s="40" t="s">
        <v>286</v>
      </c>
      <c r="D79" s="45"/>
      <c r="E79" s="59" t="s">
        <v>213</v>
      </c>
      <c r="F79" s="45"/>
      <c r="G79" s="97"/>
      <c r="H79" s="78"/>
      <c r="I79" s="1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row>
    <row r="80" spans="1:114" s="13" customFormat="1" ht="18" customHeight="1">
      <c r="A80" s="27" t="s">
        <v>20</v>
      </c>
      <c r="B80" s="48">
        <f>SUM(B79:B79)</f>
        <v>1350</v>
      </c>
      <c r="C80" s="96"/>
      <c r="D80" s="57">
        <f>D79</f>
        <v>0</v>
      </c>
      <c r="E80" s="61"/>
      <c r="F80" s="57">
        <f>F79</f>
        <v>0</v>
      </c>
      <c r="G80" s="98"/>
      <c r="H80" s="86"/>
      <c r="I80" s="60"/>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row>
    <row r="81" spans="1:114" s="10" customFormat="1" ht="39.75" customHeight="1">
      <c r="A81" s="44" t="s">
        <v>57</v>
      </c>
      <c r="B81" s="179"/>
      <c r="C81" s="40"/>
      <c r="D81" s="45"/>
      <c r="E81" s="59" t="s">
        <v>213</v>
      </c>
      <c r="F81" s="45"/>
      <c r="G81" s="97"/>
      <c r="H81" s="78"/>
      <c r="I81" s="1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row>
    <row r="82" spans="1:114" s="13" customFormat="1" ht="24" customHeight="1">
      <c r="A82" s="27" t="s">
        <v>20</v>
      </c>
      <c r="B82" s="48">
        <f>SUM(B81:B81)</f>
        <v>0</v>
      </c>
      <c r="C82" s="96"/>
      <c r="D82" s="57">
        <f>SUM(D81)</f>
        <v>0</v>
      </c>
      <c r="E82" s="61"/>
      <c r="F82" s="57">
        <f>F81</f>
        <v>0</v>
      </c>
      <c r="G82" s="98"/>
      <c r="H82" s="86"/>
      <c r="I82" s="60"/>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row>
    <row r="83" spans="1:114" s="13" customFormat="1" ht="22.5" customHeight="1">
      <c r="A83" s="422" t="s">
        <v>31</v>
      </c>
      <c r="B83" s="425">
        <f>1734.18+11907.9+700+1586.4</f>
        <v>15928.48</v>
      </c>
      <c r="C83" s="40" t="s">
        <v>83</v>
      </c>
      <c r="D83" s="430"/>
      <c r="E83" s="41" t="s">
        <v>213</v>
      </c>
      <c r="F83" s="57"/>
      <c r="G83" s="98"/>
      <c r="H83" s="86"/>
      <c r="I83" s="60"/>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row>
    <row r="84" spans="1:114" s="10" customFormat="1" ht="124.5" customHeight="1">
      <c r="A84" s="422"/>
      <c r="B84" s="425"/>
      <c r="C84" s="424" t="s">
        <v>302</v>
      </c>
      <c r="D84" s="430"/>
      <c r="E84" s="209"/>
      <c r="F84" s="45"/>
      <c r="G84" s="97"/>
      <c r="H84" s="78"/>
      <c r="I84" s="1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row>
    <row r="85" spans="1:114" s="13" customFormat="1" ht="23.25" customHeight="1">
      <c r="A85" s="27" t="s">
        <v>20</v>
      </c>
      <c r="B85" s="194">
        <f>SUM(B83:B83)</f>
        <v>15928.48</v>
      </c>
      <c r="C85" s="424"/>
      <c r="D85" s="57">
        <f>D84+D83</f>
        <v>0</v>
      </c>
      <c r="E85" s="61"/>
      <c r="F85" s="57">
        <f>F84</f>
        <v>0</v>
      </c>
      <c r="G85" s="98"/>
      <c r="H85" s="86"/>
      <c r="I85" s="60"/>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row>
    <row r="86" spans="1:114" s="13" customFormat="1" ht="30.75" customHeight="1">
      <c r="A86" s="422" t="s">
        <v>58</v>
      </c>
      <c r="B86" s="436"/>
      <c r="C86" s="202" t="s">
        <v>83</v>
      </c>
      <c r="D86" s="59"/>
      <c r="E86" s="45" t="s">
        <v>213</v>
      </c>
      <c r="F86" s="57"/>
      <c r="G86" s="98"/>
      <c r="H86" s="86"/>
      <c r="I86" s="60"/>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row>
    <row r="87" spans="1:114" s="13" customFormat="1" ht="34.5" customHeight="1">
      <c r="A87" s="422"/>
      <c r="B87" s="437"/>
      <c r="C87" s="40"/>
      <c r="D87" s="181"/>
      <c r="E87" s="156"/>
      <c r="F87" s="59"/>
      <c r="G87" s="97"/>
      <c r="H87" s="21"/>
      <c r="I87" s="86"/>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row>
    <row r="88" spans="1:114" s="13" customFormat="1" ht="19.5" customHeight="1">
      <c r="A88" s="27" t="s">
        <v>20</v>
      </c>
      <c r="B88" s="203">
        <f>B86</f>
        <v>0</v>
      </c>
      <c r="C88" s="94"/>
      <c r="D88" s="203">
        <f>SUM(D86:D87)</f>
        <v>0</v>
      </c>
      <c r="E88" s="57"/>
      <c r="F88" s="61">
        <f>F87</f>
        <v>0</v>
      </c>
      <c r="G88" s="98"/>
      <c r="H88" s="86"/>
      <c r="I88" s="86"/>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row>
    <row r="89" spans="1:114" s="13" customFormat="1" ht="22.5" customHeight="1">
      <c r="A89" s="422" t="s">
        <v>33</v>
      </c>
      <c r="B89" s="438">
        <f>4740+5870+7945</f>
        <v>18555</v>
      </c>
      <c r="C89" s="202" t="s">
        <v>83</v>
      </c>
      <c r="D89" s="201"/>
      <c r="E89" s="45" t="s">
        <v>213</v>
      </c>
      <c r="F89" s="61"/>
      <c r="G89" s="98"/>
      <c r="H89" s="86"/>
      <c r="I89" s="86"/>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row>
    <row r="90" spans="1:114" s="13" customFormat="1" ht="141.75" customHeight="1">
      <c r="A90" s="422"/>
      <c r="B90" s="438"/>
      <c r="C90" s="40" t="s">
        <v>288</v>
      </c>
      <c r="D90" s="181"/>
      <c r="E90" s="44"/>
      <c r="F90" s="59"/>
      <c r="G90" s="97"/>
      <c r="H90" s="21"/>
      <c r="I90" s="86"/>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1:114" s="13" customFormat="1" ht="21" customHeight="1">
      <c r="A91" s="27" t="s">
        <v>20</v>
      </c>
      <c r="B91" s="203">
        <f>SUM(B89)</f>
        <v>18555</v>
      </c>
      <c r="C91" s="94"/>
      <c r="D91" s="203">
        <f>SUM(D89:D90)</f>
        <v>0</v>
      </c>
      <c r="E91" s="57"/>
      <c r="F91" s="61">
        <f>F90</f>
        <v>0</v>
      </c>
      <c r="G91" s="98"/>
      <c r="H91" s="86"/>
      <c r="I91" s="86"/>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1:114" s="13" customFormat="1" ht="33" customHeight="1">
      <c r="A92" s="422" t="s">
        <v>45</v>
      </c>
      <c r="B92" s="442"/>
      <c r="C92" s="202" t="s">
        <v>289</v>
      </c>
      <c r="D92" s="166"/>
      <c r="E92" s="156" t="s">
        <v>213</v>
      </c>
      <c r="F92" s="59"/>
      <c r="G92" s="97"/>
      <c r="H92" s="86"/>
      <c r="I92" s="86"/>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1:114" s="13" customFormat="1" ht="31.5" customHeight="1">
      <c r="A93" s="422"/>
      <c r="B93" s="443"/>
      <c r="C93" s="40"/>
      <c r="D93" s="166"/>
      <c r="F93" s="59"/>
      <c r="G93" s="97"/>
      <c r="H93" s="86"/>
      <c r="I93" s="86"/>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1:114" s="13" customFormat="1" ht="19.5" customHeight="1">
      <c r="A94" s="27" t="s">
        <v>20</v>
      </c>
      <c r="B94" s="196">
        <f>B93</f>
        <v>0</v>
      </c>
      <c r="C94" s="94"/>
      <c r="D94" s="61">
        <f>SUM(D92:D93)</f>
        <v>0</v>
      </c>
      <c r="E94" s="57"/>
      <c r="F94" s="61">
        <f>F93+F92</f>
        <v>0</v>
      </c>
      <c r="G94" s="98"/>
      <c r="H94" s="86"/>
      <c r="I94" s="86"/>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1:114" s="13" customFormat="1" ht="22.5" customHeight="1">
      <c r="A95" s="444" t="s">
        <v>59</v>
      </c>
      <c r="B95" s="442"/>
      <c r="C95" s="210" t="s">
        <v>83</v>
      </c>
      <c r="D95" s="181">
        <v>450</v>
      </c>
      <c r="E95" s="211" t="s">
        <v>213</v>
      </c>
      <c r="F95" s="59"/>
      <c r="G95" s="97"/>
      <c r="H95" s="86"/>
      <c r="I95" s="86"/>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1:114" s="13" customFormat="1" ht="27" customHeight="1">
      <c r="A96" s="445"/>
      <c r="B96" s="443"/>
      <c r="C96" s="210"/>
      <c r="D96" s="181"/>
      <c r="E96" s="211"/>
      <c r="F96" s="59"/>
      <c r="G96" s="97"/>
      <c r="H96" s="86"/>
      <c r="I96" s="86"/>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1:114" s="13" customFormat="1" ht="19.5" customHeight="1">
      <c r="A97" s="27" t="s">
        <v>20</v>
      </c>
      <c r="B97" s="196">
        <f>B95</f>
        <v>0</v>
      </c>
      <c r="C97" s="94"/>
      <c r="D97" s="61">
        <f>D95+D96</f>
        <v>450</v>
      </c>
      <c r="E97" s="59"/>
      <c r="F97" s="61">
        <f>F95</f>
        <v>0</v>
      </c>
      <c r="G97" s="98"/>
      <c r="H97" s="86"/>
      <c r="I97" s="8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row>
    <row r="98" spans="1:114" s="13" customFormat="1" ht="60" customHeight="1">
      <c r="A98" s="21" t="s">
        <v>50</v>
      </c>
      <c r="B98" s="181"/>
      <c r="C98" s="40"/>
      <c r="D98" s="181"/>
      <c r="E98" s="44" t="s">
        <v>213</v>
      </c>
      <c r="F98" s="59"/>
      <c r="G98" s="97"/>
      <c r="H98" s="86"/>
      <c r="I98" s="86"/>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row>
    <row r="99" spans="1:114" s="13" customFormat="1" ht="21.75" customHeight="1">
      <c r="A99" s="27" t="s">
        <v>20</v>
      </c>
      <c r="B99" s="196">
        <f>SUM(B98)</f>
        <v>0</v>
      </c>
      <c r="C99" s="94"/>
      <c r="D99" s="61">
        <f>D98</f>
        <v>0</v>
      </c>
      <c r="E99" s="59"/>
      <c r="F99" s="61">
        <f>F98</f>
        <v>0</v>
      </c>
      <c r="G99" s="98"/>
      <c r="H99" s="86"/>
      <c r="I99" s="86"/>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row>
    <row r="100" spans="1:114" s="13" customFormat="1" ht="35.25" customHeight="1">
      <c r="A100" s="44" t="s">
        <v>60</v>
      </c>
      <c r="B100" s="181"/>
      <c r="C100" s="40" t="s">
        <v>83</v>
      </c>
      <c r="D100" s="181">
        <v>720</v>
      </c>
      <c r="E100" s="44" t="s">
        <v>213</v>
      </c>
      <c r="F100" s="59"/>
      <c r="G100" s="97"/>
      <c r="H100" s="86"/>
      <c r="I100" s="86"/>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row>
    <row r="101" spans="1:114" s="13" customFormat="1" ht="20.25" customHeight="1">
      <c r="A101" s="27" t="s">
        <v>20</v>
      </c>
      <c r="B101" s="196">
        <f>SUM(B100)</f>
        <v>0</v>
      </c>
      <c r="C101" s="94"/>
      <c r="D101" s="61">
        <f>D100</f>
        <v>720</v>
      </c>
      <c r="E101" s="59"/>
      <c r="F101" s="61">
        <f>F100</f>
        <v>0</v>
      </c>
      <c r="G101" s="98"/>
      <c r="H101" s="86"/>
      <c r="I101" s="86"/>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row>
    <row r="102" spans="1:114" s="13" customFormat="1" ht="36" customHeight="1">
      <c r="A102" s="21" t="s">
        <v>61</v>
      </c>
      <c r="B102" s="166"/>
      <c r="C102" s="40" t="s">
        <v>36</v>
      </c>
      <c r="D102" s="166"/>
      <c r="E102" s="44" t="s">
        <v>213</v>
      </c>
      <c r="F102" s="59"/>
      <c r="G102" s="97"/>
      <c r="H102" s="86"/>
      <c r="I102" s="86"/>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1:114" s="13" customFormat="1" ht="19.5" customHeight="1">
      <c r="A103" s="27" t="s">
        <v>20</v>
      </c>
      <c r="B103" s="196">
        <f>B102</f>
        <v>0</v>
      </c>
      <c r="C103" s="94"/>
      <c r="D103" s="61">
        <f>D102</f>
        <v>0</v>
      </c>
      <c r="E103" s="59"/>
      <c r="F103" s="61">
        <f>F102</f>
        <v>0</v>
      </c>
      <c r="G103" s="98"/>
      <c r="H103" s="86"/>
      <c r="I103" s="86"/>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1:114" s="13" customFormat="1" ht="42.75" customHeight="1">
      <c r="A104" s="422" t="s">
        <v>62</v>
      </c>
      <c r="B104" s="438"/>
      <c r="C104" s="120"/>
      <c r="D104" s="61"/>
      <c r="E104" s="59"/>
      <c r="F104" s="61"/>
      <c r="G104" s="98"/>
      <c r="H104" s="86"/>
      <c r="I104" s="86"/>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1:114" s="13" customFormat="1" ht="30" customHeight="1">
      <c r="A105" s="422"/>
      <c r="B105" s="438"/>
      <c r="C105" s="40" t="s">
        <v>84</v>
      </c>
      <c r="D105" s="181"/>
      <c r="E105" s="44" t="s">
        <v>213</v>
      </c>
      <c r="F105" s="59"/>
      <c r="G105" s="97"/>
      <c r="H105" s="86"/>
      <c r="I105" s="86"/>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row>
    <row r="106" spans="1:114" s="13" customFormat="1" ht="21" customHeight="1">
      <c r="A106" s="27" t="s">
        <v>20</v>
      </c>
      <c r="B106" s="196">
        <f>SUM(B104)</f>
        <v>0</v>
      </c>
      <c r="C106" s="94"/>
      <c r="D106" s="61">
        <f>SUM(D105)</f>
        <v>0</v>
      </c>
      <c r="E106" s="57"/>
      <c r="F106" s="61">
        <f>F105</f>
        <v>0</v>
      </c>
      <c r="G106" s="98"/>
      <c r="H106" s="86"/>
      <c r="I106" s="86"/>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row>
    <row r="107" spans="1:114" s="13" customFormat="1" ht="30" customHeight="1">
      <c r="A107" s="444" t="s">
        <v>46</v>
      </c>
      <c r="B107" s="442">
        <v>12637</v>
      </c>
      <c r="C107" s="202" t="s">
        <v>83</v>
      </c>
      <c r="D107" s="181"/>
      <c r="E107" s="44" t="s">
        <v>213</v>
      </c>
      <c r="F107" s="59"/>
      <c r="G107" s="97"/>
      <c r="H107" s="86"/>
      <c r="I107" s="86"/>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row>
    <row r="108" spans="1:114" s="13" customFormat="1" ht="306.75" customHeight="1">
      <c r="A108" s="445"/>
      <c r="B108" s="443"/>
      <c r="C108" s="212" t="s">
        <v>303</v>
      </c>
      <c r="D108" s="181">
        <v>87904</v>
      </c>
      <c r="E108" s="45" t="s">
        <v>284</v>
      </c>
      <c r="F108" s="59"/>
      <c r="G108" s="97"/>
      <c r="H108" s="86"/>
      <c r="I108" s="8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1:114" s="13" customFormat="1" ht="25.5" customHeight="1">
      <c r="A109" s="27" t="s">
        <v>20</v>
      </c>
      <c r="B109" s="196">
        <f>B107</f>
        <v>12637</v>
      </c>
      <c r="C109" s="94"/>
      <c r="D109" s="61">
        <f>D108+D107</f>
        <v>87904</v>
      </c>
      <c r="E109" s="57"/>
      <c r="F109" s="61">
        <f>F107</f>
        <v>0</v>
      </c>
      <c r="G109" s="98"/>
      <c r="H109" s="86"/>
      <c r="I109" s="86"/>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1:114" s="13" customFormat="1" ht="20.25" customHeight="1">
      <c r="A110" s="444" t="s">
        <v>63</v>
      </c>
      <c r="B110" s="442">
        <f>4590+1649.91</f>
        <v>6239.91</v>
      </c>
      <c r="C110" s="40" t="s">
        <v>84</v>
      </c>
      <c r="D110" s="181"/>
      <c r="E110" s="44" t="s">
        <v>213</v>
      </c>
      <c r="F110" s="59"/>
      <c r="G110" s="97"/>
      <c r="H110" s="86"/>
      <c r="I110" s="86"/>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1:114" s="13" customFormat="1" ht="65.25" customHeight="1">
      <c r="A111" s="445"/>
      <c r="B111" s="443"/>
      <c r="C111" s="40" t="s">
        <v>290</v>
      </c>
      <c r="D111" s="181"/>
      <c r="E111" s="44"/>
      <c r="F111" s="59"/>
      <c r="G111" s="97"/>
      <c r="H111" s="86"/>
      <c r="I111" s="86"/>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1:114" s="13" customFormat="1" ht="23.25" customHeight="1">
      <c r="A112" s="27" t="s">
        <v>20</v>
      </c>
      <c r="B112" s="196">
        <f>B110</f>
        <v>6239.91</v>
      </c>
      <c r="C112" s="94"/>
      <c r="D112" s="61">
        <f>SUM(D110)</f>
        <v>0</v>
      </c>
      <c r="E112" s="57"/>
      <c r="F112" s="61">
        <f>F110</f>
        <v>0</v>
      </c>
      <c r="G112" s="98"/>
      <c r="H112" s="86"/>
      <c r="I112" s="86"/>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1:114" s="13" customFormat="1" ht="43.5" customHeight="1">
      <c r="A113" s="21" t="s">
        <v>272</v>
      </c>
      <c r="B113" s="181"/>
      <c r="C113" s="40"/>
      <c r="D113" s="181"/>
      <c r="E113" s="157"/>
      <c r="F113" s="59"/>
      <c r="G113" s="98"/>
      <c r="H113" s="86"/>
      <c r="I113" s="8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1:114" s="13" customFormat="1" ht="16.5" customHeight="1">
      <c r="A114" s="27" t="s">
        <v>20</v>
      </c>
      <c r="B114" s="196">
        <f>B113</f>
        <v>0</v>
      </c>
      <c r="C114" s="94"/>
      <c r="D114" s="61">
        <f>D113</f>
        <v>0</v>
      </c>
      <c r="E114" s="57"/>
      <c r="F114" s="61"/>
      <c r="G114" s="98"/>
      <c r="H114" s="86"/>
      <c r="I114" s="8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1:114" s="13" customFormat="1" ht="19.5" customHeight="1">
      <c r="A115" s="21" t="s">
        <v>54</v>
      </c>
      <c r="B115" s="181"/>
      <c r="C115" s="40"/>
      <c r="D115" s="181"/>
      <c r="E115" s="62"/>
      <c r="F115" s="59"/>
      <c r="G115" s="98"/>
      <c r="H115" s="86"/>
      <c r="I115" s="86"/>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1:114" s="13" customFormat="1" ht="16.5" customHeight="1">
      <c r="A116" s="27" t="s">
        <v>20</v>
      </c>
      <c r="B116" s="196">
        <f>B115</f>
        <v>0</v>
      </c>
      <c r="C116" s="94"/>
      <c r="D116" s="60"/>
      <c r="E116" s="57"/>
      <c r="F116" s="61"/>
      <c r="G116" s="98"/>
      <c r="H116" s="86"/>
      <c r="I116" s="86"/>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1:114" s="13" customFormat="1" ht="19.5" customHeight="1">
      <c r="A117" s="21" t="s">
        <v>66</v>
      </c>
      <c r="B117" s="181"/>
      <c r="C117" s="40"/>
      <c r="D117" s="181"/>
      <c r="E117" s="62"/>
      <c r="F117" s="59"/>
      <c r="G117" s="98"/>
      <c r="H117" s="86"/>
      <c r="I117" s="86"/>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row>
    <row r="118" spans="1:114" s="13" customFormat="1" ht="16.5" customHeight="1">
      <c r="A118" s="27" t="s">
        <v>20</v>
      </c>
      <c r="B118" s="196">
        <f>B117</f>
        <v>0</v>
      </c>
      <c r="C118" s="94"/>
      <c r="D118" s="60"/>
      <c r="E118" s="57"/>
      <c r="F118" s="61"/>
      <c r="G118" s="98"/>
      <c r="H118" s="86"/>
      <c r="I118" s="86"/>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1:114" s="13" customFormat="1" ht="19.5" customHeight="1">
      <c r="A119" s="21" t="s">
        <v>67</v>
      </c>
      <c r="B119" s="181"/>
      <c r="C119" s="40"/>
      <c r="D119" s="181"/>
      <c r="E119" s="62"/>
      <c r="F119" s="59"/>
      <c r="G119" s="98"/>
      <c r="H119" s="86"/>
      <c r="I119" s="86"/>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1:114" s="13" customFormat="1" ht="16.5" customHeight="1">
      <c r="A120" s="27" t="s">
        <v>20</v>
      </c>
      <c r="B120" s="196">
        <f>SUM(B119)</f>
        <v>0</v>
      </c>
      <c r="C120" s="94"/>
      <c r="D120" s="60"/>
      <c r="E120" s="57"/>
      <c r="F120" s="61"/>
      <c r="G120" s="98"/>
      <c r="H120" s="86"/>
      <c r="I120" s="86"/>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1:114" s="13" customFormat="1" ht="53.25" customHeight="1">
      <c r="A121" s="44" t="s">
        <v>64</v>
      </c>
      <c r="B121" s="181">
        <v>400</v>
      </c>
      <c r="C121" s="40" t="s">
        <v>304</v>
      </c>
      <c r="D121" s="181"/>
      <c r="E121" s="62"/>
      <c r="F121" s="59"/>
      <c r="G121" s="98"/>
      <c r="H121" s="86"/>
      <c r="I121" s="86"/>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1:114" s="13" customFormat="1" ht="23.25" customHeight="1">
      <c r="A122" s="27" t="s">
        <v>20</v>
      </c>
      <c r="B122" s="196">
        <f>B121</f>
        <v>400</v>
      </c>
      <c r="C122" s="94"/>
      <c r="D122" s="60"/>
      <c r="E122" s="57"/>
      <c r="F122" s="61"/>
      <c r="G122" s="98"/>
      <c r="H122" s="86"/>
      <c r="I122" s="86"/>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1:114" s="13" customFormat="1" ht="37.5" customHeight="1">
      <c r="A123" s="21" t="s">
        <v>56</v>
      </c>
      <c r="B123" s="181"/>
      <c r="C123" s="40"/>
      <c r="D123" s="181"/>
      <c r="E123" s="62"/>
      <c r="F123" s="59"/>
      <c r="G123" s="98"/>
      <c r="H123" s="86"/>
      <c r="I123" s="8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row>
    <row r="124" spans="1:114" s="13" customFormat="1" ht="37.5" customHeight="1">
      <c r="A124" s="180" t="s">
        <v>20</v>
      </c>
      <c r="B124" s="181"/>
      <c r="C124" s="40"/>
      <c r="D124" s="181"/>
      <c r="E124" s="62"/>
      <c r="F124" s="59"/>
      <c r="G124" s="98"/>
      <c r="H124" s="86"/>
      <c r="I124" s="86"/>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row>
    <row r="125" spans="1:114" s="13" customFormat="1" ht="97.5" customHeight="1">
      <c r="A125" s="21" t="s">
        <v>111</v>
      </c>
      <c r="B125" s="181"/>
      <c r="C125" s="40"/>
      <c r="D125" s="181"/>
      <c r="E125" s="62"/>
      <c r="F125" s="59"/>
      <c r="G125" s="98"/>
      <c r="H125" s="43"/>
      <c r="I125" s="9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row>
    <row r="126" spans="1:114" s="13" customFormat="1" ht="51" customHeight="1" thickBot="1">
      <c r="A126" s="27" t="s">
        <v>20</v>
      </c>
      <c r="B126" s="48"/>
      <c r="C126" s="94"/>
      <c r="D126" s="86"/>
      <c r="E126" s="57"/>
      <c r="F126" s="61"/>
      <c r="G126" s="98"/>
      <c r="H126" s="74">
        <f>H125</f>
        <v>0</v>
      </c>
      <c r="I126" s="86"/>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row>
    <row r="127" spans="1:114" s="18" customFormat="1" ht="77.25" customHeight="1" thickBot="1">
      <c r="A127" s="195" t="s">
        <v>70</v>
      </c>
      <c r="B127" s="196">
        <f>SUM(B52+B54+B57+B59+B61+B64+B66+B78+B80+B82+B85+B88+B91+B94+B97+B99+B101+B103+B106+B109+B112+B114+B116+B118+B120+B122+B126)</f>
        <v>82963.29000000001</v>
      </c>
      <c r="C127" s="196"/>
      <c r="D127" s="196">
        <f>SUM(D52+D54+D57+D59+D61+D64+D66+D78+D80+D82+D85+D88+D91+D94+D97+D99+D101+D103+D106+D109+D112+D114+D116+D118+D120+D122+D126)</f>
        <v>176978</v>
      </c>
      <c r="E127" s="196"/>
      <c r="F127" s="196">
        <f>F54+F59+F61+F64+F66+F78+F80+H113+F88+F91+F94+F97+F99+F101+F103+F106+F109+F112+F126+F57+F82+F85</f>
        <v>0</v>
      </c>
      <c r="G127" s="204"/>
      <c r="H127" s="196">
        <f>H66+H126</f>
        <v>0</v>
      </c>
      <c r="I127" s="196"/>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c r="DH127" s="187"/>
      <c r="DI127" s="187"/>
      <c r="DJ127" s="187"/>
    </row>
    <row r="128" spans="1:114" s="18" customFormat="1" ht="93.75" customHeight="1" thickBot="1">
      <c r="A128" s="27" t="s">
        <v>69</v>
      </c>
      <c r="B128" s="205">
        <f>SUM(B50+B127)</f>
        <v>166099.69</v>
      </c>
      <c r="C128" s="205"/>
      <c r="D128" s="205">
        <f>D127+D50</f>
        <v>176978</v>
      </c>
      <c r="E128" s="205"/>
      <c r="F128" s="205">
        <f>F50+F127</f>
        <v>0</v>
      </c>
      <c r="G128" s="206"/>
      <c r="H128" s="205">
        <f>H50+H127</f>
        <v>0</v>
      </c>
      <c r="I128" s="205"/>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row>
    <row r="129" spans="1:114" s="8" customFormat="1" ht="9.75" customHeight="1">
      <c r="A129" s="90"/>
      <c r="B129" s="90"/>
      <c r="C129" s="90"/>
      <c r="D129" s="88"/>
      <c r="E129" s="89"/>
      <c r="F129" s="88"/>
      <c r="G129" s="88"/>
      <c r="H129" s="71"/>
      <c r="I129" s="71"/>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row>
    <row r="130" spans="1:114" s="8" customFormat="1" ht="24" customHeight="1">
      <c r="A130" s="89" t="s">
        <v>93</v>
      </c>
      <c r="B130" s="89"/>
      <c r="C130" s="89"/>
      <c r="D130" s="88"/>
      <c r="E130" s="89"/>
      <c r="F130" s="88"/>
      <c r="G130" s="89" t="s">
        <v>95</v>
      </c>
      <c r="H130" s="71"/>
      <c r="I130" s="71"/>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row>
    <row r="131" spans="1:9" ht="15.75" customHeight="1">
      <c r="A131" s="90"/>
      <c r="B131" s="90"/>
      <c r="C131" s="91"/>
      <c r="D131" s="92"/>
      <c r="E131" s="93"/>
      <c r="F131" s="90"/>
      <c r="G131" s="90"/>
      <c r="H131" s="73"/>
      <c r="I131" s="73"/>
    </row>
    <row r="132" spans="1:9" ht="20.25" customHeight="1">
      <c r="A132" s="90" t="s">
        <v>35</v>
      </c>
      <c r="B132" s="90"/>
      <c r="C132" s="91"/>
      <c r="D132" s="92"/>
      <c r="E132" s="93"/>
      <c r="F132" s="90"/>
      <c r="G132" s="90" t="s">
        <v>106</v>
      </c>
      <c r="H132" s="73"/>
      <c r="I132" s="73"/>
    </row>
    <row r="133" spans="1:9" ht="14.25" customHeight="1">
      <c r="A133" s="91"/>
      <c r="B133" s="92"/>
      <c r="C133" s="91"/>
      <c r="D133" s="92"/>
      <c r="E133" s="90"/>
      <c r="F133" s="92"/>
      <c r="G133" s="92"/>
      <c r="H133" s="73"/>
      <c r="I133" s="73"/>
    </row>
    <row r="134" spans="1:9" ht="20.25" customHeight="1">
      <c r="A134" s="91" t="s">
        <v>228</v>
      </c>
      <c r="B134" s="92"/>
      <c r="C134" s="91"/>
      <c r="D134" s="92"/>
      <c r="E134" s="90"/>
      <c r="F134" s="92"/>
      <c r="G134" s="92"/>
      <c r="H134" s="73"/>
      <c r="I134" s="73"/>
    </row>
    <row r="135" spans="1:9" ht="20.25" customHeight="1">
      <c r="A135" s="91" t="s">
        <v>229</v>
      </c>
      <c r="B135" s="92"/>
      <c r="C135" s="91"/>
      <c r="D135" s="92"/>
      <c r="E135" s="90"/>
      <c r="F135" s="92"/>
      <c r="G135" s="92"/>
      <c r="H135" s="73"/>
      <c r="I135" s="73"/>
    </row>
    <row r="136" spans="1:9" ht="12" customHeight="1">
      <c r="A136" s="2"/>
      <c r="B136" s="2"/>
      <c r="C136" s="6"/>
      <c r="D136" s="2"/>
      <c r="E136" s="2"/>
      <c r="F136" s="2"/>
      <c r="G136" s="2"/>
      <c r="H136" s="2"/>
      <c r="I136" s="2"/>
    </row>
    <row r="137" spans="1:9" ht="15">
      <c r="A137" s="2"/>
      <c r="B137" s="2"/>
      <c r="C137" s="6"/>
      <c r="D137" s="2"/>
      <c r="E137" s="2"/>
      <c r="F137" s="2"/>
      <c r="G137" s="2"/>
      <c r="H137" s="2"/>
      <c r="I137" s="2"/>
    </row>
    <row r="138" spans="1:9" ht="15">
      <c r="A138" s="3"/>
      <c r="B138" s="2"/>
      <c r="C138" s="6"/>
      <c r="D138" s="2"/>
      <c r="E138" s="2"/>
      <c r="F138" s="2"/>
      <c r="G138" s="2"/>
      <c r="H138" s="2"/>
      <c r="I138" s="2"/>
    </row>
  </sheetData>
  <sheetProtection/>
  <mergeCells count="59">
    <mergeCell ref="D9:E10"/>
    <mergeCell ref="F9:G10"/>
    <mergeCell ref="G4:I4"/>
    <mergeCell ref="A5:I5"/>
    <mergeCell ref="A6:I6"/>
    <mergeCell ref="A7:I7"/>
    <mergeCell ref="E23:E24"/>
    <mergeCell ref="F23:F24"/>
    <mergeCell ref="H9:I10"/>
    <mergeCell ref="A12:A13"/>
    <mergeCell ref="B12:B13"/>
    <mergeCell ref="C12:C13"/>
    <mergeCell ref="A8:A11"/>
    <mergeCell ref="B8:E8"/>
    <mergeCell ref="F8:I8"/>
    <mergeCell ref="B9:C10"/>
    <mergeCell ref="G23:G24"/>
    <mergeCell ref="H23:H24"/>
    <mergeCell ref="I23:I24"/>
    <mergeCell ref="A28:A29"/>
    <mergeCell ref="B28:B29"/>
    <mergeCell ref="C28:C29"/>
    <mergeCell ref="A23:A24"/>
    <mergeCell ref="B23:B24"/>
    <mergeCell ref="C23:C24"/>
    <mergeCell ref="D23:D24"/>
    <mergeCell ref="A31:A32"/>
    <mergeCell ref="B31:B32"/>
    <mergeCell ref="C31:C33"/>
    <mergeCell ref="C36:C37"/>
    <mergeCell ref="C44:C45"/>
    <mergeCell ref="C46:C47"/>
    <mergeCell ref="D83:D84"/>
    <mergeCell ref="C84:C85"/>
    <mergeCell ref="C48:C49"/>
    <mergeCell ref="C51:C52"/>
    <mergeCell ref="C53:C54"/>
    <mergeCell ref="A55:A56"/>
    <mergeCell ref="B55:B56"/>
    <mergeCell ref="A62:A63"/>
    <mergeCell ref="B62:B63"/>
    <mergeCell ref="A92:A93"/>
    <mergeCell ref="B92:B93"/>
    <mergeCell ref="C65:C66"/>
    <mergeCell ref="C77:C78"/>
    <mergeCell ref="A83:A84"/>
    <mergeCell ref="B83:B84"/>
    <mergeCell ref="A86:A87"/>
    <mergeCell ref="B86:B87"/>
    <mergeCell ref="A89:A90"/>
    <mergeCell ref="B89:B90"/>
    <mergeCell ref="A110:A111"/>
    <mergeCell ref="B110:B111"/>
    <mergeCell ref="A95:A96"/>
    <mergeCell ref="B95:B96"/>
    <mergeCell ref="A104:A105"/>
    <mergeCell ref="B104:B105"/>
    <mergeCell ref="A107:A108"/>
    <mergeCell ref="B107:B108"/>
  </mergeCells>
  <printOptions/>
  <pageMargins left="0.7874015748031497" right="0.3937007874015748" top="0.3937007874015748" bottom="0.3937007874015748" header="0" footer="0"/>
  <pageSetup horizontalDpi="600" verticalDpi="600" orientation="portrait" paperSize="9" scale="50" r:id="rId1"/>
</worksheet>
</file>

<file path=xl/worksheets/sheet21.xml><?xml version="1.0" encoding="utf-8"?>
<worksheet xmlns="http://schemas.openxmlformats.org/spreadsheetml/2006/main" xmlns:r="http://schemas.openxmlformats.org/officeDocument/2006/relationships">
  <dimension ref="A1:DJ138"/>
  <sheetViews>
    <sheetView zoomScale="73" zoomScaleNormal="73" zoomScalePageLayoutView="0" workbookViewId="0" topLeftCell="A9">
      <pane xSplit="1" ySplit="3" topLeftCell="B110" activePane="bottomRight" state="frozen"/>
      <selection pane="topLeft" activeCell="A9" sqref="A9"/>
      <selection pane="topRight" activeCell="B9" sqref="B9"/>
      <selection pane="bottomLeft" activeCell="A12" sqref="A12"/>
      <selection pane="bottomRight" activeCell="A8" sqref="A1:IV16384"/>
    </sheetView>
  </sheetViews>
  <sheetFormatPr defaultColWidth="25.7109375" defaultRowHeight="15"/>
  <cols>
    <col min="1" max="1" width="16.8515625" style="1" customWidth="1"/>
    <col min="2" max="2" width="19.7109375" style="1" customWidth="1"/>
    <col min="3" max="3" width="32.57421875" style="5" customWidth="1"/>
    <col min="4" max="4" width="17.7109375" style="1" customWidth="1"/>
    <col min="5" max="5" width="23.57421875" style="1" customWidth="1"/>
    <col min="6" max="6" width="12.00390625" style="1" customWidth="1"/>
    <col min="7" max="7" width="14.140625" style="1" customWidth="1"/>
    <col min="8" max="8" width="12.7109375" style="1" customWidth="1"/>
    <col min="9" max="9" width="18.57421875" style="1" customWidth="1"/>
    <col min="10" max="114" width="25.7109375" style="2" customWidth="1"/>
    <col min="115" max="16384" width="25.710937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314</v>
      </c>
      <c r="B6" s="364"/>
      <c r="C6" s="364"/>
      <c r="D6" s="364"/>
      <c r="E6" s="364"/>
      <c r="F6" s="364"/>
      <c r="G6" s="364"/>
      <c r="H6" s="364"/>
      <c r="I6" s="364"/>
    </row>
    <row r="7" spans="1:114" s="4" customFormat="1" ht="26.25" customHeight="1">
      <c r="A7" s="364" t="s">
        <v>27</v>
      </c>
      <c r="B7" s="364"/>
      <c r="C7" s="364"/>
      <c r="D7" s="364"/>
      <c r="E7" s="364"/>
      <c r="F7" s="364"/>
      <c r="G7" s="364"/>
      <c r="H7" s="364"/>
      <c r="I7" s="364"/>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row>
    <row r="8" spans="1:114" s="10" customFormat="1" ht="19.5" customHeight="1">
      <c r="A8" s="420" t="s">
        <v>28</v>
      </c>
      <c r="B8" s="420" t="s">
        <v>0</v>
      </c>
      <c r="C8" s="420"/>
      <c r="D8" s="420"/>
      <c r="E8" s="420"/>
      <c r="F8" s="420" t="s">
        <v>1</v>
      </c>
      <c r="G8" s="420"/>
      <c r="H8" s="420"/>
      <c r="I8" s="420"/>
      <c r="J8" s="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0" customFormat="1" ht="13.5" customHeight="1">
      <c r="A9" s="420"/>
      <c r="B9" s="420" t="s">
        <v>2</v>
      </c>
      <c r="C9" s="420"/>
      <c r="D9" s="420" t="s">
        <v>23</v>
      </c>
      <c r="E9" s="420"/>
      <c r="F9" s="420" t="s">
        <v>2</v>
      </c>
      <c r="G9" s="420"/>
      <c r="H9" s="420" t="s">
        <v>3</v>
      </c>
      <c r="I9" s="421"/>
      <c r="J9" s="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0" customFormat="1" ht="26.25" customHeight="1">
      <c r="A10" s="420"/>
      <c r="B10" s="420"/>
      <c r="C10" s="420"/>
      <c r="D10" s="420"/>
      <c r="E10" s="420"/>
      <c r="F10" s="420"/>
      <c r="G10" s="420"/>
      <c r="H10" s="421"/>
      <c r="I10" s="421"/>
      <c r="J10" s="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0" customFormat="1" ht="57" customHeight="1">
      <c r="A11" s="420"/>
      <c r="B11" s="19" t="s">
        <v>22</v>
      </c>
      <c r="C11" s="20" t="s">
        <v>4</v>
      </c>
      <c r="D11" s="19" t="s">
        <v>22</v>
      </c>
      <c r="E11" s="207" t="s">
        <v>5</v>
      </c>
      <c r="F11" s="19" t="s">
        <v>22</v>
      </c>
      <c r="G11" s="19" t="s">
        <v>4</v>
      </c>
      <c r="H11" s="19" t="s">
        <v>22</v>
      </c>
      <c r="I11" s="19" t="s">
        <v>6</v>
      </c>
      <c r="J11" s="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0" customFormat="1" ht="39" customHeight="1">
      <c r="A12" s="422" t="s">
        <v>24</v>
      </c>
      <c r="B12" s="423">
        <f>518.5+524</f>
        <v>1042.5</v>
      </c>
      <c r="C12" s="424" t="s">
        <v>277</v>
      </c>
      <c r="D12" s="23"/>
      <c r="E12" s="188"/>
      <c r="F12" s="25"/>
      <c r="G12" s="97"/>
      <c r="H12" s="26"/>
      <c r="I12" s="26"/>
      <c r="J12" s="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0" customFormat="1" ht="27" customHeight="1">
      <c r="A13" s="422"/>
      <c r="B13" s="423"/>
      <c r="C13" s="424"/>
      <c r="D13" s="23"/>
      <c r="E13" s="189"/>
      <c r="F13" s="25"/>
      <c r="G13" s="97"/>
      <c r="H13" s="26"/>
      <c r="I13" s="26"/>
      <c r="J13" s="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3" customFormat="1" ht="20.25" customHeight="1">
      <c r="A14" s="27" t="s">
        <v>19</v>
      </c>
      <c r="B14" s="48">
        <f>SUM(B12:B13)</f>
        <v>1042.5</v>
      </c>
      <c r="C14" s="94"/>
      <c r="D14" s="29"/>
      <c r="E14" s="190"/>
      <c r="F14" s="31"/>
      <c r="G14" s="98"/>
      <c r="H14" s="27"/>
      <c r="I14" s="27"/>
      <c r="J14" s="11"/>
      <c r="K14" s="183"/>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10" customFormat="1" ht="50.25" customHeight="1">
      <c r="A15" s="44" t="s">
        <v>7</v>
      </c>
      <c r="B15" s="179">
        <f>190.5+398.7+681.2+795.3</f>
        <v>2065.7</v>
      </c>
      <c r="C15" s="40" t="s">
        <v>278</v>
      </c>
      <c r="D15" s="23"/>
      <c r="E15" s="119"/>
      <c r="F15" s="25"/>
      <c r="G15" s="97"/>
      <c r="H15" s="26"/>
      <c r="I15" s="26"/>
      <c r="J15" s="9"/>
      <c r="K15" s="18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3" customFormat="1" ht="22.5" customHeight="1">
      <c r="A16" s="27" t="s">
        <v>19</v>
      </c>
      <c r="B16" s="48">
        <f>SUM(B15)</f>
        <v>2065.7</v>
      </c>
      <c r="C16" s="40"/>
      <c r="D16" s="191"/>
      <c r="E16" s="190"/>
      <c r="F16" s="31"/>
      <c r="G16" s="98"/>
      <c r="H16" s="27"/>
      <c r="I16" s="27"/>
      <c r="J16" s="11"/>
      <c r="K16" s="18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s="13" customFormat="1" ht="96.75" customHeight="1">
      <c r="A17" s="44" t="s">
        <v>32</v>
      </c>
      <c r="B17" s="179">
        <f>782.4+7116+4805</f>
        <v>12703.4</v>
      </c>
      <c r="C17" s="40" t="s">
        <v>293</v>
      </c>
      <c r="D17" s="21"/>
      <c r="E17" s="119"/>
      <c r="F17" s="36"/>
      <c r="G17" s="97"/>
      <c r="H17" s="27"/>
      <c r="I17" s="27"/>
      <c r="J17" s="11"/>
      <c r="K17" s="183"/>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s="13" customFormat="1" ht="25.5" customHeight="1">
      <c r="A18" s="27" t="s">
        <v>19</v>
      </c>
      <c r="B18" s="48">
        <f>SUM(B17)</f>
        <v>12703.4</v>
      </c>
      <c r="C18" s="40"/>
      <c r="D18" s="29"/>
      <c r="E18" s="190"/>
      <c r="F18" s="37">
        <f>F17</f>
        <v>0</v>
      </c>
      <c r="G18" s="98"/>
      <c r="H18" s="27"/>
      <c r="I18" s="27"/>
      <c r="J18" s="11"/>
      <c r="K18" s="18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s="10" customFormat="1" ht="42" customHeight="1">
      <c r="A19" s="44" t="s">
        <v>55</v>
      </c>
      <c r="B19" s="179"/>
      <c r="C19" s="40"/>
      <c r="D19" s="192"/>
      <c r="E19" s="39"/>
      <c r="F19" s="25"/>
      <c r="G19" s="97"/>
      <c r="H19" s="26"/>
      <c r="I19" s="26"/>
      <c r="J19" s="9"/>
      <c r="K19" s="18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13" customFormat="1" ht="28.5" customHeight="1">
      <c r="A20" s="27" t="s">
        <v>20</v>
      </c>
      <c r="B20" s="48">
        <f>B19</f>
        <v>0</v>
      </c>
      <c r="C20" s="94"/>
      <c r="D20" s="23"/>
      <c r="E20" s="119"/>
      <c r="F20" s="31"/>
      <c r="G20" s="98"/>
      <c r="H20" s="27"/>
      <c r="I20" s="27"/>
      <c r="J20" s="11"/>
      <c r="K20" s="183"/>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s="10" customFormat="1" ht="45" customHeight="1">
      <c r="A21" s="44" t="s">
        <v>8</v>
      </c>
      <c r="B21" s="179">
        <f>427.5+220+816</f>
        <v>1463.5</v>
      </c>
      <c r="C21" s="40" t="s">
        <v>242</v>
      </c>
      <c r="D21" s="192"/>
      <c r="E21" s="39"/>
      <c r="F21" s="25"/>
      <c r="G21" s="97"/>
      <c r="H21" s="41"/>
      <c r="I21" s="97"/>
      <c r="J21" s="9"/>
      <c r="K21" s="18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13" customFormat="1" ht="22.5" customHeight="1">
      <c r="A22" s="27" t="s">
        <v>20</v>
      </c>
      <c r="B22" s="48">
        <f>B21</f>
        <v>1463.5</v>
      </c>
      <c r="C22" s="40"/>
      <c r="D22" s="23"/>
      <c r="E22" s="119"/>
      <c r="F22" s="31"/>
      <c r="G22" s="98"/>
      <c r="H22" s="193"/>
      <c r="I22" s="27"/>
      <c r="J22" s="11"/>
      <c r="K22" s="183"/>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s="13" customFormat="1" ht="20.25" customHeight="1">
      <c r="A23" s="422" t="s">
        <v>9</v>
      </c>
      <c r="B23" s="425">
        <f>460+440+450</f>
        <v>1350</v>
      </c>
      <c r="C23" s="424" t="s">
        <v>242</v>
      </c>
      <c r="D23" s="428"/>
      <c r="E23" s="429"/>
      <c r="F23" s="430"/>
      <c r="G23" s="427"/>
      <c r="H23" s="426"/>
      <c r="I23" s="426"/>
      <c r="J23" s="11"/>
      <c r="K23" s="183"/>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s="13" customFormat="1" ht="31.5" customHeight="1">
      <c r="A24" s="422"/>
      <c r="B24" s="425"/>
      <c r="C24" s="424"/>
      <c r="D24" s="428"/>
      <c r="E24" s="429"/>
      <c r="F24" s="430"/>
      <c r="G24" s="427"/>
      <c r="H24" s="426"/>
      <c r="I24" s="426"/>
      <c r="J24" s="11"/>
      <c r="K24" s="183"/>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13" customFormat="1" ht="22.5" customHeight="1">
      <c r="A25" s="27" t="s">
        <v>20</v>
      </c>
      <c r="B25" s="48">
        <f>SUM(B23:B24)</f>
        <v>1350</v>
      </c>
      <c r="C25" s="173"/>
      <c r="D25" s="23"/>
      <c r="E25" s="119"/>
      <c r="F25" s="74"/>
      <c r="G25" s="98"/>
      <c r="H25" s="60"/>
      <c r="I25" s="60"/>
      <c r="J25" s="11"/>
      <c r="K25" s="183"/>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s="10" customFormat="1" ht="38.25" customHeight="1">
      <c r="A26" s="44" t="s">
        <v>10</v>
      </c>
      <c r="B26" s="179"/>
      <c r="C26" s="173"/>
      <c r="D26" s="23"/>
      <c r="E26" s="119"/>
      <c r="F26" s="59"/>
      <c r="G26" s="97"/>
      <c r="H26" s="19"/>
      <c r="I26" s="19"/>
      <c r="J26" s="9"/>
      <c r="K26" s="18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13" customFormat="1" ht="16.5" customHeight="1">
      <c r="A27" s="27" t="s">
        <v>20</v>
      </c>
      <c r="B27" s="48">
        <f>SUM(B26)</f>
        <v>0</v>
      </c>
      <c r="C27" s="173"/>
      <c r="D27" s="23"/>
      <c r="E27" s="119"/>
      <c r="F27" s="57"/>
      <c r="G27" s="98"/>
      <c r="H27" s="60"/>
      <c r="I27" s="60"/>
      <c r="J27" s="11"/>
      <c r="K27" s="183"/>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s="10" customFormat="1" ht="24.75" customHeight="1">
      <c r="A28" s="422" t="s">
        <v>11</v>
      </c>
      <c r="B28" s="423">
        <f>149.5+14120+143+273+4520</f>
        <v>19205.5</v>
      </c>
      <c r="C28" s="424" t="s">
        <v>306</v>
      </c>
      <c r="D28" s="23"/>
      <c r="E28" s="119"/>
      <c r="F28" s="75"/>
      <c r="G28" s="97"/>
      <c r="H28" s="19"/>
      <c r="I28" s="19"/>
      <c r="J28" s="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10" customFormat="1" ht="150.75" customHeight="1">
      <c r="A29" s="422"/>
      <c r="B29" s="423"/>
      <c r="C29" s="424"/>
      <c r="D29" s="23"/>
      <c r="E29" s="119"/>
      <c r="F29" s="75"/>
      <c r="G29" s="97"/>
      <c r="H29" s="19"/>
      <c r="I29" s="19"/>
      <c r="J29" s="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13" customFormat="1" ht="21.75" customHeight="1">
      <c r="A30" s="27" t="s">
        <v>20</v>
      </c>
      <c r="B30" s="48">
        <f>SUM(B28:B29)</f>
        <v>19205.5</v>
      </c>
      <c r="C30" s="94"/>
      <c r="D30" s="19"/>
      <c r="E30" s="43"/>
      <c r="F30" s="74"/>
      <c r="G30" s="98"/>
      <c r="H30" s="60"/>
      <c r="I30" s="60"/>
      <c r="J30" s="11"/>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s="10" customFormat="1" ht="15.75" customHeight="1">
      <c r="A31" s="422" t="s">
        <v>49</v>
      </c>
      <c r="B31" s="423">
        <f>5880+613+150.2+710</f>
        <v>7353.2</v>
      </c>
      <c r="C31" s="431" t="s">
        <v>307</v>
      </c>
      <c r="D31" s="23"/>
      <c r="E31" s="119"/>
      <c r="F31" s="75"/>
      <c r="G31" s="97"/>
      <c r="H31" s="19"/>
      <c r="I31" s="19"/>
      <c r="J31" s="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10" customFormat="1" ht="125.25" customHeight="1">
      <c r="A32" s="422"/>
      <c r="B32" s="423"/>
      <c r="C32" s="432"/>
      <c r="D32" s="23"/>
      <c r="E32" s="119"/>
      <c r="F32" s="75"/>
      <c r="G32" s="97"/>
      <c r="H32" s="19"/>
      <c r="I32" s="19"/>
      <c r="J32" s="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13" customFormat="1" ht="24.75" customHeight="1">
      <c r="A33" s="27" t="s">
        <v>20</v>
      </c>
      <c r="B33" s="48">
        <f>SUM(B31:B32)</f>
        <v>7353.2</v>
      </c>
      <c r="C33" s="433"/>
      <c r="D33" s="19"/>
      <c r="E33" s="43"/>
      <c r="F33" s="74"/>
      <c r="G33" s="98"/>
      <c r="H33" s="60"/>
      <c r="I33" s="60"/>
      <c r="J33" s="11"/>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s="10" customFormat="1" ht="235.5" customHeight="1">
      <c r="A34" s="44" t="s">
        <v>12</v>
      </c>
      <c r="B34" s="179">
        <f>272+19520+272+272</f>
        <v>20336</v>
      </c>
      <c r="C34" s="40" t="s">
        <v>295</v>
      </c>
      <c r="D34" s="19"/>
      <c r="E34" s="43"/>
      <c r="F34" s="59"/>
      <c r="G34" s="97"/>
      <c r="H34" s="19"/>
      <c r="I34" s="19"/>
      <c r="J34" s="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13" customFormat="1" ht="23.25" customHeight="1">
      <c r="A35" s="27" t="s">
        <v>20</v>
      </c>
      <c r="B35" s="48">
        <f>SUM(B34)</f>
        <v>20336</v>
      </c>
      <c r="C35" s="40"/>
      <c r="D35" s="44"/>
      <c r="E35" s="45"/>
      <c r="F35" s="74"/>
      <c r="G35" s="98"/>
      <c r="H35" s="60"/>
      <c r="I35" s="60"/>
      <c r="J35" s="11"/>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s="10" customFormat="1" ht="42.75" customHeight="1">
      <c r="A36" s="44" t="s">
        <v>21</v>
      </c>
      <c r="B36" s="179">
        <f>360+294+306</f>
        <v>960</v>
      </c>
      <c r="C36" s="431" t="s">
        <v>77</v>
      </c>
      <c r="D36" s="44"/>
      <c r="E36" s="43"/>
      <c r="F36" s="59"/>
      <c r="G36" s="97"/>
      <c r="H36" s="19"/>
      <c r="I36" s="19"/>
      <c r="J36" s="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13" customFormat="1" ht="24.75" customHeight="1">
      <c r="A37" s="27" t="s">
        <v>20</v>
      </c>
      <c r="B37" s="48">
        <f>SUM(B36:B36)</f>
        <v>960</v>
      </c>
      <c r="C37" s="433"/>
      <c r="D37" s="19"/>
      <c r="E37" s="43"/>
      <c r="F37" s="74"/>
      <c r="G37" s="98"/>
      <c r="H37" s="60"/>
      <c r="I37" s="60"/>
      <c r="J37" s="11"/>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s="10" customFormat="1" ht="383.25" customHeight="1">
      <c r="A38" s="44" t="s">
        <v>13</v>
      </c>
      <c r="B38" s="179">
        <f>670+746+2970+980+718</f>
        <v>6084</v>
      </c>
      <c r="C38" s="40" t="s">
        <v>296</v>
      </c>
      <c r="D38" s="44"/>
      <c r="E38" s="43"/>
      <c r="F38" s="43"/>
      <c r="G38" s="97"/>
      <c r="H38" s="19"/>
      <c r="I38" s="19"/>
      <c r="J38" s="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row>
    <row r="39" spans="1:114" s="13" customFormat="1" ht="22.5" customHeight="1">
      <c r="A39" s="27" t="s">
        <v>20</v>
      </c>
      <c r="B39" s="48">
        <f>SUM(B38)</f>
        <v>6084</v>
      </c>
      <c r="C39" s="40"/>
      <c r="D39" s="44"/>
      <c r="E39" s="43"/>
      <c r="F39" s="74"/>
      <c r="G39" s="98"/>
      <c r="H39" s="60"/>
      <c r="I39" s="60"/>
      <c r="J39" s="11"/>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10" customFormat="1" ht="48.75" customHeight="1">
      <c r="A40" s="44" t="s">
        <v>14</v>
      </c>
      <c r="B40" s="179"/>
      <c r="C40" s="173"/>
      <c r="D40" s="44"/>
      <c r="E40" s="43"/>
      <c r="F40" s="43"/>
      <c r="G40" s="97"/>
      <c r="H40" s="19"/>
      <c r="I40" s="19"/>
      <c r="J40" s="9"/>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row>
    <row r="41" spans="1:114" s="13" customFormat="1" ht="19.5" customHeight="1">
      <c r="A41" s="27" t="s">
        <v>20</v>
      </c>
      <c r="B41" s="48">
        <f>SUM(B40:B40)</f>
        <v>0</v>
      </c>
      <c r="C41" s="173"/>
      <c r="D41" s="44"/>
      <c r="E41" s="43"/>
      <c r="F41" s="74">
        <f>F40</f>
        <v>0</v>
      </c>
      <c r="G41" s="98"/>
      <c r="H41" s="60"/>
      <c r="I41" s="60"/>
      <c r="J41" s="11"/>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s="10" customFormat="1" ht="47.25" customHeight="1">
      <c r="A42" s="44" t="s">
        <v>15</v>
      </c>
      <c r="B42" s="179">
        <f>664+664+2680+664</f>
        <v>4672</v>
      </c>
      <c r="C42" s="40" t="s">
        <v>297</v>
      </c>
      <c r="D42" s="44"/>
      <c r="E42" s="45"/>
      <c r="F42" s="43"/>
      <c r="G42" s="97"/>
      <c r="H42" s="19"/>
      <c r="I42" s="19"/>
      <c r="J42" s="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row>
    <row r="43" spans="1:114" s="13" customFormat="1" ht="21.75" customHeight="1">
      <c r="A43" s="27" t="s">
        <v>20</v>
      </c>
      <c r="B43" s="48">
        <f>SUM(B42:B42)</f>
        <v>4672</v>
      </c>
      <c r="C43" s="40"/>
      <c r="D43" s="44"/>
      <c r="E43" s="45"/>
      <c r="F43" s="74"/>
      <c r="G43" s="98"/>
      <c r="H43" s="60"/>
      <c r="I43" s="60"/>
      <c r="J43" s="11"/>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s="10" customFormat="1" ht="146.25" customHeight="1">
      <c r="A44" s="44" t="s">
        <v>16</v>
      </c>
      <c r="B44" s="179">
        <f>12520+4420+2520+520+1200+60+225</f>
        <v>21465</v>
      </c>
      <c r="C44" s="424" t="s">
        <v>308</v>
      </c>
      <c r="D44" s="44"/>
      <c r="E44" s="45"/>
      <c r="F44" s="43"/>
      <c r="G44" s="97"/>
      <c r="H44" s="19"/>
      <c r="I44" s="19"/>
      <c r="J44" s="9"/>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row>
    <row r="45" spans="1:114" s="13" customFormat="1" ht="20.25" customHeight="1">
      <c r="A45" s="27" t="s">
        <v>20</v>
      </c>
      <c r="B45" s="194">
        <f>SUM(B44:B44)</f>
        <v>21465</v>
      </c>
      <c r="C45" s="424"/>
      <c r="D45" s="44"/>
      <c r="E45" s="45"/>
      <c r="F45" s="74">
        <f>F44</f>
        <v>0</v>
      </c>
      <c r="G45" s="98"/>
      <c r="H45" s="60"/>
      <c r="I45" s="60"/>
      <c r="J45" s="11"/>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s="10" customFormat="1" ht="40.5" customHeight="1">
      <c r="A46" s="44" t="s">
        <v>17</v>
      </c>
      <c r="B46" s="179">
        <f>226+379.3+379.3</f>
        <v>984.5999999999999</v>
      </c>
      <c r="C46" s="424" t="s">
        <v>77</v>
      </c>
      <c r="D46" s="19"/>
      <c r="E46" s="45"/>
      <c r="F46" s="43"/>
      <c r="G46" s="97"/>
      <c r="H46" s="19"/>
      <c r="I46" s="19"/>
      <c r="J46" s="9"/>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row>
    <row r="47" spans="1:114" s="13" customFormat="1" ht="24.75" customHeight="1">
      <c r="A47" s="27" t="s">
        <v>20</v>
      </c>
      <c r="B47" s="48">
        <f>SUM(B46:B46)</f>
        <v>984.5999999999999</v>
      </c>
      <c r="C47" s="424"/>
      <c r="D47" s="44"/>
      <c r="E47" s="43"/>
      <c r="F47" s="74"/>
      <c r="G47" s="98"/>
      <c r="H47" s="60"/>
      <c r="I47" s="60"/>
      <c r="J47" s="11"/>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s="10" customFormat="1" ht="129.75" customHeight="1">
      <c r="A48" s="44" t="s">
        <v>18</v>
      </c>
      <c r="B48" s="179">
        <f>150+1800+1475+160+700</f>
        <v>4285</v>
      </c>
      <c r="C48" s="424" t="s">
        <v>309</v>
      </c>
      <c r="D48" s="44"/>
      <c r="E48" s="43"/>
      <c r="F48" s="43"/>
      <c r="G48" s="97"/>
      <c r="H48" s="19"/>
      <c r="I48" s="19"/>
      <c r="J48" s="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row>
    <row r="49" spans="1:114" s="10" customFormat="1" ht="21.75" customHeight="1" thickBot="1">
      <c r="A49" s="27" t="s">
        <v>20</v>
      </c>
      <c r="B49" s="48">
        <f>SUM(B48:B48)</f>
        <v>4285</v>
      </c>
      <c r="C49" s="424"/>
      <c r="D49" s="44"/>
      <c r="E49" s="43"/>
      <c r="F49" s="74">
        <f>F48</f>
        <v>0</v>
      </c>
      <c r="G49" s="97"/>
      <c r="H49" s="19"/>
      <c r="I49" s="19"/>
      <c r="J49" s="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row>
    <row r="50" spans="1:114" s="16" customFormat="1" ht="36.75" customHeight="1" thickBot="1">
      <c r="A50" s="195" t="s">
        <v>68</v>
      </c>
      <c r="B50" s="196">
        <f>SUM(B14+B16+B18+B20+B22+B25+B27+B30+B33+B35+B37+B39+B41+B43+B45+B47+B49)</f>
        <v>103970.4</v>
      </c>
      <c r="C50" s="96"/>
      <c r="D50" s="197"/>
      <c r="E50" s="61"/>
      <c r="F50" s="198">
        <f>F41+F49+F18+F45</f>
        <v>0</v>
      </c>
      <c r="G50" s="199"/>
      <c r="H50" s="57">
        <f>H22</f>
        <v>0</v>
      </c>
      <c r="I50" s="6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row>
    <row r="51" spans="1:114" s="10" customFormat="1" ht="325.5" customHeight="1">
      <c r="A51" s="26" t="s">
        <v>41</v>
      </c>
      <c r="B51" s="179">
        <f>8815+1320</f>
        <v>10135</v>
      </c>
      <c r="C51" s="424" t="s">
        <v>310</v>
      </c>
      <c r="D51" s="59"/>
      <c r="E51" s="44" t="s">
        <v>213</v>
      </c>
      <c r="F51" s="43"/>
      <c r="G51" s="97"/>
      <c r="H51" s="60"/>
      <c r="I51" s="60"/>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s="13" customFormat="1" ht="25.5" customHeight="1">
      <c r="A52" s="27" t="s">
        <v>20</v>
      </c>
      <c r="B52" s="48">
        <f>SUM(B51:B51)</f>
        <v>10135</v>
      </c>
      <c r="C52" s="424"/>
      <c r="D52" s="57">
        <f>D51</f>
        <v>0</v>
      </c>
      <c r="E52" s="61"/>
      <c r="F52" s="74">
        <f>F51</f>
        <v>0</v>
      </c>
      <c r="G52" s="98"/>
      <c r="H52" s="60"/>
      <c r="I52" s="60"/>
      <c r="J52" s="11"/>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s="10" customFormat="1" ht="35.25" customHeight="1">
      <c r="A53" s="26" t="s">
        <v>56</v>
      </c>
      <c r="B53" s="179">
        <f>953+1054.9+2435+1122</f>
        <v>5564.9</v>
      </c>
      <c r="C53" s="424" t="s">
        <v>300</v>
      </c>
      <c r="D53" s="59"/>
      <c r="E53" s="62"/>
      <c r="F53" s="43"/>
      <c r="G53" s="97"/>
      <c r="H53" s="60"/>
      <c r="I53" s="60"/>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s="13" customFormat="1" ht="26.25" customHeight="1">
      <c r="A54" s="27" t="s">
        <v>20</v>
      </c>
      <c r="B54" s="48">
        <f>SUM(B53:B53)</f>
        <v>5564.9</v>
      </c>
      <c r="C54" s="424"/>
      <c r="D54" s="57">
        <f>D53</f>
        <v>0</v>
      </c>
      <c r="E54" s="61"/>
      <c r="F54" s="74">
        <f>F53</f>
        <v>0</v>
      </c>
      <c r="G54" s="98"/>
      <c r="H54" s="60"/>
      <c r="I54" s="60"/>
      <c r="J54" s="1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13" customFormat="1" ht="26.25" customHeight="1">
      <c r="A55" s="422" t="s">
        <v>39</v>
      </c>
      <c r="B55" s="425">
        <v>4164</v>
      </c>
      <c r="C55" s="40" t="s">
        <v>84</v>
      </c>
      <c r="D55" s="59"/>
      <c r="E55" s="45" t="s">
        <v>213</v>
      </c>
      <c r="F55" s="74"/>
      <c r="G55" s="98"/>
      <c r="H55" s="60"/>
      <c r="I55" s="60"/>
      <c r="J55" s="1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s="13" customFormat="1" ht="63.75" customHeight="1">
      <c r="A56" s="422"/>
      <c r="B56" s="425"/>
      <c r="C56" s="120" t="s">
        <v>282</v>
      </c>
      <c r="D56" s="166"/>
      <c r="E56" s="156"/>
      <c r="F56" s="43"/>
      <c r="G56" s="97"/>
      <c r="H56" s="60"/>
      <c r="I56" s="60"/>
      <c r="J56" s="11"/>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s="13" customFormat="1" ht="20.25" customHeight="1">
      <c r="A57" s="27" t="s">
        <v>20</v>
      </c>
      <c r="B57" s="48">
        <f>SUM(B55:B55)</f>
        <v>4164</v>
      </c>
      <c r="C57" s="94"/>
      <c r="D57" s="57">
        <f>SUM(D55:D56)</f>
        <v>0</v>
      </c>
      <c r="E57" s="61"/>
      <c r="F57" s="74">
        <f>F56</f>
        <v>0</v>
      </c>
      <c r="G57" s="98"/>
      <c r="H57" s="60"/>
      <c r="I57" s="60"/>
      <c r="J57" s="11"/>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s="10" customFormat="1" ht="38.25" customHeight="1">
      <c r="A58" s="44" t="s">
        <v>38</v>
      </c>
      <c r="B58" s="200"/>
      <c r="C58" s="169"/>
      <c r="D58" s="166"/>
      <c r="E58" s="78" t="s">
        <v>213</v>
      </c>
      <c r="F58" s="43"/>
      <c r="G58" s="97"/>
      <c r="H58" s="78"/>
      <c r="I58" s="1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s="13" customFormat="1" ht="19.5" customHeight="1">
      <c r="A59" s="27" t="s">
        <v>20</v>
      </c>
      <c r="B59" s="48">
        <f>SUM(B58:B58)</f>
        <v>0</v>
      </c>
      <c r="C59" s="94"/>
      <c r="D59" s="57">
        <f>D58</f>
        <v>0</v>
      </c>
      <c r="E59" s="86"/>
      <c r="F59" s="74">
        <f>F58</f>
        <v>0</v>
      </c>
      <c r="G59" s="98"/>
      <c r="H59" s="86"/>
      <c r="I59" s="6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13" customFormat="1" ht="42" customHeight="1">
      <c r="A60" s="44" t="s">
        <v>40</v>
      </c>
      <c r="B60" s="179"/>
      <c r="C60" s="40"/>
      <c r="D60" s="59"/>
      <c r="E60" s="78" t="s">
        <v>213</v>
      </c>
      <c r="F60" s="43"/>
      <c r="G60" s="97"/>
      <c r="H60" s="86"/>
      <c r="I60" s="60"/>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s="13" customFormat="1" ht="26.25" customHeight="1">
      <c r="A61" s="27" t="s">
        <v>20</v>
      </c>
      <c r="B61" s="48">
        <f>SUM(B60:B60)</f>
        <v>0</v>
      </c>
      <c r="C61" s="96"/>
      <c r="D61" s="61">
        <f>SUM(D60)</f>
        <v>0</v>
      </c>
      <c r="E61" s="61"/>
      <c r="F61" s="57">
        <f>F60</f>
        <v>0</v>
      </c>
      <c r="G61" s="98"/>
      <c r="H61" s="86"/>
      <c r="I61" s="6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1:114" s="13" customFormat="1" ht="285.75" customHeight="1">
      <c r="A62" s="444" t="s">
        <v>42</v>
      </c>
      <c r="B62" s="436">
        <v>6300</v>
      </c>
      <c r="C62" s="208" t="s">
        <v>285</v>
      </c>
      <c r="D62" s="45">
        <v>87904</v>
      </c>
      <c r="E62" s="45" t="s">
        <v>284</v>
      </c>
      <c r="F62" s="59"/>
      <c r="G62" s="97"/>
      <c r="H62" s="78"/>
      <c r="I62" s="19"/>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row>
    <row r="63" spans="1:114" s="13" customFormat="1" ht="30" customHeight="1">
      <c r="A63" s="445"/>
      <c r="B63" s="437"/>
      <c r="C63" s="40" t="s">
        <v>84</v>
      </c>
      <c r="D63" s="166"/>
      <c r="E63" s="45" t="s">
        <v>213</v>
      </c>
      <c r="F63" s="59"/>
      <c r="G63" s="97"/>
      <c r="H63" s="86"/>
      <c r="I63" s="60"/>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row>
    <row r="64" spans="1:114" s="13" customFormat="1" ht="24" customHeight="1">
      <c r="A64" s="27" t="s">
        <v>20</v>
      </c>
      <c r="B64" s="48">
        <f>SUM(B62:B63)</f>
        <v>6300</v>
      </c>
      <c r="C64" s="96"/>
      <c r="D64" s="57">
        <f>D63+D62</f>
        <v>87904</v>
      </c>
      <c r="E64" s="61"/>
      <c r="F64" s="57">
        <f>F63</f>
        <v>0</v>
      </c>
      <c r="G64" s="98"/>
      <c r="H64" s="86"/>
      <c r="I64" s="60"/>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row>
    <row r="65" spans="1:114" s="10" customFormat="1" ht="75" customHeight="1">
      <c r="A65" s="44" t="s">
        <v>29</v>
      </c>
      <c r="B65" s="179">
        <f>29928+11832</f>
        <v>41760</v>
      </c>
      <c r="C65" s="424" t="s">
        <v>311</v>
      </c>
      <c r="D65" s="45"/>
      <c r="E65" s="59" t="s">
        <v>213</v>
      </c>
      <c r="F65" s="45"/>
      <c r="G65" s="97"/>
      <c r="H65" s="43"/>
      <c r="I65" s="1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row>
    <row r="66" spans="1:114" s="13" customFormat="1" ht="24" customHeight="1">
      <c r="A66" s="27" t="s">
        <v>20</v>
      </c>
      <c r="B66" s="194">
        <f>SUM(B65:B65)</f>
        <v>41760</v>
      </c>
      <c r="C66" s="424"/>
      <c r="D66" s="57">
        <f>SUM(D65)</f>
        <v>0</v>
      </c>
      <c r="E66" s="61"/>
      <c r="F66" s="57">
        <f>F65</f>
        <v>0</v>
      </c>
      <c r="G66" s="98"/>
      <c r="H66" s="74">
        <f>H65</f>
        <v>0</v>
      </c>
      <c r="I66" s="60"/>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row>
    <row r="67" spans="1:114" s="13" customFormat="1" ht="174.75" customHeight="1" hidden="1">
      <c r="A67" s="27" t="s">
        <v>20</v>
      </c>
      <c r="B67" s="48">
        <f>SUM(B65:B66)</f>
        <v>83520</v>
      </c>
      <c r="C67" s="94"/>
      <c r="D67" s="61"/>
      <c r="E67" s="57"/>
      <c r="F67" s="61"/>
      <c r="G67" s="98"/>
      <c r="H67" s="86"/>
      <c r="I67" s="86"/>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row>
    <row r="68" spans="1:114" s="13" customFormat="1" ht="16.5" customHeight="1" hidden="1">
      <c r="A68" s="21" t="s">
        <v>37</v>
      </c>
      <c r="B68" s="47">
        <v>10999</v>
      </c>
      <c r="C68" s="40" t="s">
        <v>52</v>
      </c>
      <c r="D68" s="61"/>
      <c r="E68" s="57"/>
      <c r="F68" s="61"/>
      <c r="G68" s="98"/>
      <c r="H68" s="86"/>
      <c r="I68" s="86"/>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row>
    <row r="69" spans="1:114" s="10" customFormat="1" ht="17.25" customHeight="1" hidden="1">
      <c r="A69" s="21" t="s">
        <v>37</v>
      </c>
      <c r="B69" s="47">
        <v>1219</v>
      </c>
      <c r="C69" s="40" t="s">
        <v>43</v>
      </c>
      <c r="D69" s="45"/>
      <c r="E69" s="57"/>
      <c r="F69" s="45"/>
      <c r="G69" s="97"/>
      <c r="H69" s="78"/>
      <c r="I69" s="1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row>
    <row r="70" spans="1:114" s="13" customFormat="1" ht="16.5" customHeight="1" hidden="1">
      <c r="A70" s="27" t="s">
        <v>20</v>
      </c>
      <c r="B70" s="48">
        <f>SUM(B68:B69)</f>
        <v>12218</v>
      </c>
      <c r="C70" s="94"/>
      <c r="D70" s="61"/>
      <c r="E70" s="57"/>
      <c r="F70" s="61"/>
      <c r="G70" s="98"/>
      <c r="H70" s="86"/>
      <c r="I70" s="86"/>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row>
    <row r="71" spans="1:114" s="13" customFormat="1" ht="16.5" customHeight="1" hidden="1">
      <c r="A71" s="21" t="s">
        <v>30</v>
      </c>
      <c r="B71" s="181">
        <v>3133</v>
      </c>
      <c r="C71" s="40" t="s">
        <v>44</v>
      </c>
      <c r="D71" s="45"/>
      <c r="E71" s="57"/>
      <c r="F71" s="61"/>
      <c r="G71" s="98"/>
      <c r="H71" s="86"/>
      <c r="I71" s="8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row>
    <row r="72" spans="1:114" s="13" customFormat="1" ht="18.75" customHeight="1" hidden="1">
      <c r="A72" s="21" t="s">
        <v>30</v>
      </c>
      <c r="B72" s="181">
        <v>120</v>
      </c>
      <c r="C72" s="40" t="s">
        <v>36</v>
      </c>
      <c r="D72" s="45"/>
      <c r="E72" s="57"/>
      <c r="F72" s="61"/>
      <c r="G72" s="98"/>
      <c r="H72" s="86"/>
      <c r="I72" s="86"/>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row>
    <row r="73" spans="1:114" s="13" customFormat="1" ht="18.75" customHeight="1" hidden="1">
      <c r="A73" s="21" t="s">
        <v>30</v>
      </c>
      <c r="B73" s="181">
        <v>210</v>
      </c>
      <c r="C73" s="40" t="s">
        <v>36</v>
      </c>
      <c r="D73" s="45"/>
      <c r="E73" s="57"/>
      <c r="F73" s="61"/>
      <c r="G73" s="98"/>
      <c r="H73" s="86"/>
      <c r="I73" s="8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row>
    <row r="74" spans="1:114" s="13" customFormat="1" ht="16.5" customHeight="1" hidden="1">
      <c r="A74" s="27" t="s">
        <v>20</v>
      </c>
      <c r="B74" s="196">
        <f>SUM(B71:B73)</f>
        <v>3463</v>
      </c>
      <c r="C74" s="94"/>
      <c r="D74" s="61"/>
      <c r="E74" s="57"/>
      <c r="F74" s="61"/>
      <c r="G74" s="98"/>
      <c r="H74" s="86"/>
      <c r="I74" s="86"/>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row>
    <row r="75" spans="1:114" s="13" customFormat="1" ht="17.25" customHeight="1" hidden="1">
      <c r="A75" s="21" t="s">
        <v>31</v>
      </c>
      <c r="B75" s="201">
        <v>60</v>
      </c>
      <c r="C75" s="40" t="s">
        <v>48</v>
      </c>
      <c r="D75" s="201">
        <v>149639.87</v>
      </c>
      <c r="E75" s="62" t="s">
        <v>47</v>
      </c>
      <c r="F75" s="59"/>
      <c r="G75" s="98"/>
      <c r="H75" s="21"/>
      <c r="I75" s="86"/>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row>
    <row r="76" spans="1:114" s="13" customFormat="1" ht="17.25" customHeight="1" hidden="1">
      <c r="A76" s="21" t="s">
        <v>31</v>
      </c>
      <c r="B76" s="201">
        <v>3951.33</v>
      </c>
      <c r="C76" s="40" t="s">
        <v>51</v>
      </c>
      <c r="D76" s="201"/>
      <c r="E76" s="62"/>
      <c r="F76" s="59"/>
      <c r="G76" s="98"/>
      <c r="H76" s="21"/>
      <c r="I76" s="86"/>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row>
    <row r="77" spans="1:114" s="10" customFormat="1" ht="43.5" customHeight="1">
      <c r="A77" s="44" t="s">
        <v>37</v>
      </c>
      <c r="B77" s="179">
        <f>4131+3962</f>
        <v>8093</v>
      </c>
      <c r="C77" s="434" t="s">
        <v>312</v>
      </c>
      <c r="D77" s="45"/>
      <c r="E77" s="59" t="s">
        <v>213</v>
      </c>
      <c r="F77" s="45"/>
      <c r="G77" s="97"/>
      <c r="H77" s="78"/>
      <c r="I77" s="1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row>
    <row r="78" spans="1:114" s="13" customFormat="1" ht="21.75" customHeight="1">
      <c r="A78" s="27" t="s">
        <v>20</v>
      </c>
      <c r="B78" s="48">
        <f>SUM(B77:B77)</f>
        <v>8093</v>
      </c>
      <c r="C78" s="434"/>
      <c r="D78" s="57">
        <f>SUM(D77)</f>
        <v>0</v>
      </c>
      <c r="E78" s="61"/>
      <c r="F78" s="57">
        <f>F77</f>
        <v>0</v>
      </c>
      <c r="G78" s="98"/>
      <c r="H78" s="86"/>
      <c r="I78" s="60"/>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row>
    <row r="79" spans="1:114" s="10" customFormat="1" ht="56.25" customHeight="1">
      <c r="A79" s="44" t="s">
        <v>30</v>
      </c>
      <c r="B79" s="179">
        <v>1350</v>
      </c>
      <c r="C79" s="40" t="s">
        <v>286</v>
      </c>
      <c r="D79" s="45"/>
      <c r="E79" s="59" t="s">
        <v>213</v>
      </c>
      <c r="F79" s="45"/>
      <c r="G79" s="97"/>
      <c r="H79" s="78"/>
      <c r="I79" s="1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row>
    <row r="80" spans="1:114" s="13" customFormat="1" ht="18" customHeight="1">
      <c r="A80" s="27" t="s">
        <v>20</v>
      </c>
      <c r="B80" s="48">
        <f>SUM(B79:B79)</f>
        <v>1350</v>
      </c>
      <c r="C80" s="96"/>
      <c r="D80" s="57">
        <f>D79</f>
        <v>0</v>
      </c>
      <c r="E80" s="61"/>
      <c r="F80" s="57">
        <f>F79</f>
        <v>0</v>
      </c>
      <c r="G80" s="98"/>
      <c r="H80" s="86"/>
      <c r="I80" s="60"/>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row>
    <row r="81" spans="1:114" s="10" customFormat="1" ht="39.75" customHeight="1">
      <c r="A81" s="44" t="s">
        <v>57</v>
      </c>
      <c r="B81" s="179"/>
      <c r="C81" s="40"/>
      <c r="D81" s="45"/>
      <c r="E81" s="59" t="s">
        <v>213</v>
      </c>
      <c r="F81" s="45"/>
      <c r="G81" s="97"/>
      <c r="H81" s="78"/>
      <c r="I81" s="1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row>
    <row r="82" spans="1:114" s="13" customFormat="1" ht="24" customHeight="1">
      <c r="A82" s="27" t="s">
        <v>20</v>
      </c>
      <c r="B82" s="48">
        <f>SUM(B81:B81)</f>
        <v>0</v>
      </c>
      <c r="C82" s="96"/>
      <c r="D82" s="57">
        <f>SUM(D81)</f>
        <v>0</v>
      </c>
      <c r="E82" s="61"/>
      <c r="F82" s="57">
        <f>F81</f>
        <v>0</v>
      </c>
      <c r="G82" s="98"/>
      <c r="H82" s="86"/>
      <c r="I82" s="60"/>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row>
    <row r="83" spans="1:114" s="13" customFormat="1" ht="22.5" customHeight="1">
      <c r="A83" s="422" t="s">
        <v>31</v>
      </c>
      <c r="B83" s="425">
        <f>1734.18+11907.9+700+1586.4+1637.8</f>
        <v>17566.28</v>
      </c>
      <c r="C83" s="40" t="s">
        <v>83</v>
      </c>
      <c r="D83" s="430"/>
      <c r="E83" s="41" t="s">
        <v>213</v>
      </c>
      <c r="F83" s="57"/>
      <c r="G83" s="98"/>
      <c r="H83" s="86"/>
      <c r="I83" s="60"/>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row>
    <row r="84" spans="1:114" s="10" customFormat="1" ht="124.5" customHeight="1">
      <c r="A84" s="422"/>
      <c r="B84" s="425"/>
      <c r="C84" s="424" t="s">
        <v>302</v>
      </c>
      <c r="D84" s="430"/>
      <c r="E84" s="209"/>
      <c r="F84" s="45"/>
      <c r="G84" s="97"/>
      <c r="H84" s="78"/>
      <c r="I84" s="1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row>
    <row r="85" spans="1:114" s="13" customFormat="1" ht="23.25" customHeight="1">
      <c r="A85" s="27" t="s">
        <v>20</v>
      </c>
      <c r="B85" s="194">
        <f>SUM(B83:B83)</f>
        <v>17566.28</v>
      </c>
      <c r="C85" s="424"/>
      <c r="D85" s="57">
        <f>D84+D83</f>
        <v>0</v>
      </c>
      <c r="E85" s="61"/>
      <c r="F85" s="57">
        <f>F84</f>
        <v>0</v>
      </c>
      <c r="G85" s="98"/>
      <c r="H85" s="86"/>
      <c r="I85" s="60"/>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row>
    <row r="86" spans="1:114" s="13" customFormat="1" ht="30.75" customHeight="1">
      <c r="A86" s="422" t="s">
        <v>58</v>
      </c>
      <c r="B86" s="436"/>
      <c r="C86" s="202" t="s">
        <v>83</v>
      </c>
      <c r="D86" s="59"/>
      <c r="E86" s="45" t="s">
        <v>213</v>
      </c>
      <c r="F86" s="57"/>
      <c r="G86" s="98"/>
      <c r="H86" s="86"/>
      <c r="I86" s="60"/>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row>
    <row r="87" spans="1:114" s="13" customFormat="1" ht="34.5" customHeight="1">
      <c r="A87" s="422"/>
      <c r="B87" s="437"/>
      <c r="C87" s="40"/>
      <c r="D87" s="181"/>
      <c r="E87" s="156"/>
      <c r="F87" s="59"/>
      <c r="G87" s="97"/>
      <c r="H87" s="21"/>
      <c r="I87" s="86"/>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row>
    <row r="88" spans="1:114" s="13" customFormat="1" ht="19.5" customHeight="1">
      <c r="A88" s="27" t="s">
        <v>20</v>
      </c>
      <c r="B88" s="203">
        <f>B86</f>
        <v>0</v>
      </c>
      <c r="C88" s="94"/>
      <c r="D88" s="203">
        <f>SUM(D86:D87)</f>
        <v>0</v>
      </c>
      <c r="E88" s="57"/>
      <c r="F88" s="61">
        <f>F87</f>
        <v>0</v>
      </c>
      <c r="G88" s="98"/>
      <c r="H88" s="86"/>
      <c r="I88" s="86"/>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row>
    <row r="89" spans="1:114" s="13" customFormat="1" ht="22.5" customHeight="1">
      <c r="A89" s="422" t="s">
        <v>33</v>
      </c>
      <c r="B89" s="438">
        <f>4740+5870+7945</f>
        <v>18555</v>
      </c>
      <c r="C89" s="202" t="s">
        <v>83</v>
      </c>
      <c r="D89" s="201"/>
      <c r="E89" s="45" t="s">
        <v>213</v>
      </c>
      <c r="F89" s="61"/>
      <c r="G89" s="98"/>
      <c r="H89" s="86"/>
      <c r="I89" s="86"/>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row>
    <row r="90" spans="1:114" s="13" customFormat="1" ht="141.75" customHeight="1">
      <c r="A90" s="422"/>
      <c r="B90" s="438"/>
      <c r="C90" s="40" t="s">
        <v>288</v>
      </c>
      <c r="D90" s="181"/>
      <c r="E90" s="44"/>
      <c r="F90" s="59"/>
      <c r="G90" s="97"/>
      <c r="H90" s="21"/>
      <c r="I90" s="86"/>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1:114" s="13" customFormat="1" ht="21" customHeight="1">
      <c r="A91" s="27" t="s">
        <v>20</v>
      </c>
      <c r="B91" s="203">
        <f>SUM(B89)</f>
        <v>18555</v>
      </c>
      <c r="C91" s="94"/>
      <c r="D91" s="203">
        <f>SUM(D89:D90)</f>
        <v>0</v>
      </c>
      <c r="E91" s="57"/>
      <c r="F91" s="61">
        <f>F90</f>
        <v>0</v>
      </c>
      <c r="G91" s="98"/>
      <c r="H91" s="86"/>
      <c r="I91" s="86"/>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1:114" s="13" customFormat="1" ht="33" customHeight="1">
      <c r="A92" s="422" t="s">
        <v>45</v>
      </c>
      <c r="B92" s="442"/>
      <c r="C92" s="202" t="s">
        <v>289</v>
      </c>
      <c r="D92" s="166"/>
      <c r="E92" s="156" t="s">
        <v>213</v>
      </c>
      <c r="F92" s="59"/>
      <c r="G92" s="97"/>
      <c r="H92" s="86"/>
      <c r="I92" s="86"/>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1:114" s="13" customFormat="1" ht="31.5" customHeight="1">
      <c r="A93" s="422"/>
      <c r="B93" s="443"/>
      <c r="C93" s="40"/>
      <c r="D93" s="166"/>
      <c r="F93" s="59"/>
      <c r="G93" s="97"/>
      <c r="H93" s="86"/>
      <c r="I93" s="86"/>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1:114" s="13" customFormat="1" ht="19.5" customHeight="1">
      <c r="A94" s="27" t="s">
        <v>20</v>
      </c>
      <c r="B94" s="196">
        <f>B93</f>
        <v>0</v>
      </c>
      <c r="C94" s="94"/>
      <c r="D94" s="61">
        <f>SUM(D92:D93)</f>
        <v>0</v>
      </c>
      <c r="E94" s="57"/>
      <c r="F94" s="61">
        <f>F93+F92</f>
        <v>0</v>
      </c>
      <c r="G94" s="98"/>
      <c r="H94" s="86"/>
      <c r="I94" s="86"/>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1:114" s="13" customFormat="1" ht="22.5" customHeight="1">
      <c r="A95" s="444" t="s">
        <v>59</v>
      </c>
      <c r="B95" s="442"/>
      <c r="C95" s="210" t="s">
        <v>83</v>
      </c>
      <c r="D95" s="181">
        <v>450</v>
      </c>
      <c r="E95" s="211" t="s">
        <v>213</v>
      </c>
      <c r="F95" s="59"/>
      <c r="G95" s="97"/>
      <c r="H95" s="86"/>
      <c r="I95" s="86"/>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1:114" s="13" customFormat="1" ht="27" customHeight="1">
      <c r="A96" s="445"/>
      <c r="B96" s="443"/>
      <c r="C96" s="210"/>
      <c r="D96" s="181"/>
      <c r="E96" s="211"/>
      <c r="F96" s="59"/>
      <c r="G96" s="97"/>
      <c r="H96" s="86"/>
      <c r="I96" s="86"/>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1:114" s="13" customFormat="1" ht="19.5" customHeight="1">
      <c r="A97" s="27" t="s">
        <v>20</v>
      </c>
      <c r="B97" s="196">
        <f>B95</f>
        <v>0</v>
      </c>
      <c r="C97" s="94"/>
      <c r="D97" s="61">
        <f>D95+D96</f>
        <v>450</v>
      </c>
      <c r="E97" s="59"/>
      <c r="F97" s="61">
        <f>F95</f>
        <v>0</v>
      </c>
      <c r="G97" s="98"/>
      <c r="H97" s="86"/>
      <c r="I97" s="8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row>
    <row r="98" spans="1:114" s="13" customFormat="1" ht="60" customHeight="1">
      <c r="A98" s="21" t="s">
        <v>50</v>
      </c>
      <c r="B98" s="181"/>
      <c r="C98" s="40"/>
      <c r="D98" s="181"/>
      <c r="E98" s="44" t="s">
        <v>213</v>
      </c>
      <c r="F98" s="59"/>
      <c r="G98" s="97"/>
      <c r="H98" s="86"/>
      <c r="I98" s="86"/>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row>
    <row r="99" spans="1:114" s="13" customFormat="1" ht="21.75" customHeight="1">
      <c r="A99" s="27" t="s">
        <v>20</v>
      </c>
      <c r="B99" s="196">
        <f>SUM(B98)</f>
        <v>0</v>
      </c>
      <c r="C99" s="94"/>
      <c r="D99" s="61">
        <f>D98</f>
        <v>0</v>
      </c>
      <c r="E99" s="59"/>
      <c r="F99" s="61">
        <f>F98</f>
        <v>0</v>
      </c>
      <c r="G99" s="98"/>
      <c r="H99" s="86"/>
      <c r="I99" s="86"/>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row>
    <row r="100" spans="1:114" s="13" customFormat="1" ht="35.25" customHeight="1">
      <c r="A100" s="44" t="s">
        <v>60</v>
      </c>
      <c r="B100" s="181"/>
      <c r="C100" s="40" t="s">
        <v>83</v>
      </c>
      <c r="D100" s="181">
        <v>720</v>
      </c>
      <c r="E100" s="44" t="s">
        <v>213</v>
      </c>
      <c r="F100" s="59"/>
      <c r="G100" s="97"/>
      <c r="H100" s="86"/>
      <c r="I100" s="86"/>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row>
    <row r="101" spans="1:114" s="13" customFormat="1" ht="20.25" customHeight="1">
      <c r="A101" s="27" t="s">
        <v>20</v>
      </c>
      <c r="B101" s="196">
        <f>SUM(B100)</f>
        <v>0</v>
      </c>
      <c r="C101" s="94"/>
      <c r="D101" s="61">
        <f>D100</f>
        <v>720</v>
      </c>
      <c r="E101" s="59"/>
      <c r="F101" s="61">
        <f>F100</f>
        <v>0</v>
      </c>
      <c r="G101" s="98"/>
      <c r="H101" s="86"/>
      <c r="I101" s="86"/>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row>
    <row r="102" spans="1:114" s="13" customFormat="1" ht="36" customHeight="1">
      <c r="A102" s="21" t="s">
        <v>61</v>
      </c>
      <c r="B102" s="166"/>
      <c r="C102" s="40" t="s">
        <v>36</v>
      </c>
      <c r="D102" s="166"/>
      <c r="E102" s="44" t="s">
        <v>213</v>
      </c>
      <c r="F102" s="59"/>
      <c r="G102" s="97"/>
      <c r="H102" s="86"/>
      <c r="I102" s="86"/>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1:114" s="13" customFormat="1" ht="19.5" customHeight="1">
      <c r="A103" s="27" t="s">
        <v>20</v>
      </c>
      <c r="B103" s="196">
        <f>B102</f>
        <v>0</v>
      </c>
      <c r="C103" s="94"/>
      <c r="D103" s="61">
        <f>D102</f>
        <v>0</v>
      </c>
      <c r="E103" s="59"/>
      <c r="F103" s="61">
        <f>F102</f>
        <v>0</v>
      </c>
      <c r="G103" s="98"/>
      <c r="H103" s="86"/>
      <c r="I103" s="86"/>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1:114" s="13" customFormat="1" ht="42.75" customHeight="1">
      <c r="A104" s="422" t="s">
        <v>62</v>
      </c>
      <c r="B104" s="438"/>
      <c r="C104" s="120"/>
      <c r="D104" s="61"/>
      <c r="E104" s="59"/>
      <c r="F104" s="61"/>
      <c r="G104" s="98"/>
      <c r="H104" s="86"/>
      <c r="I104" s="86"/>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1:114" s="13" customFormat="1" ht="30" customHeight="1">
      <c r="A105" s="422"/>
      <c r="B105" s="438"/>
      <c r="C105" s="40" t="s">
        <v>84</v>
      </c>
      <c r="D105" s="181"/>
      <c r="E105" s="44" t="s">
        <v>213</v>
      </c>
      <c r="F105" s="59"/>
      <c r="G105" s="97"/>
      <c r="H105" s="86"/>
      <c r="I105" s="86"/>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row>
    <row r="106" spans="1:114" s="13" customFormat="1" ht="21" customHeight="1">
      <c r="A106" s="27" t="s">
        <v>20</v>
      </c>
      <c r="B106" s="196">
        <f>SUM(B104)</f>
        <v>0</v>
      </c>
      <c r="C106" s="94"/>
      <c r="D106" s="61">
        <f>SUM(D105)</f>
        <v>0</v>
      </c>
      <c r="E106" s="57"/>
      <c r="F106" s="61">
        <f>F105</f>
        <v>0</v>
      </c>
      <c r="G106" s="98"/>
      <c r="H106" s="86"/>
      <c r="I106" s="86"/>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row>
    <row r="107" spans="1:114" s="13" customFormat="1" ht="30" customHeight="1">
      <c r="A107" s="444" t="s">
        <v>46</v>
      </c>
      <c r="B107" s="442">
        <f>12637+24200</f>
        <v>36837</v>
      </c>
      <c r="C107" s="202" t="s">
        <v>83</v>
      </c>
      <c r="D107" s="181"/>
      <c r="E107" s="44" t="s">
        <v>213</v>
      </c>
      <c r="F107" s="59"/>
      <c r="G107" s="97"/>
      <c r="H107" s="86"/>
      <c r="I107" s="86"/>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row>
    <row r="108" spans="1:114" s="13" customFormat="1" ht="344.25" customHeight="1">
      <c r="A108" s="445"/>
      <c r="B108" s="443"/>
      <c r="C108" s="212" t="s">
        <v>313</v>
      </c>
      <c r="D108" s="181">
        <v>87904</v>
      </c>
      <c r="E108" s="45" t="s">
        <v>284</v>
      </c>
      <c r="F108" s="59"/>
      <c r="G108" s="97"/>
      <c r="H108" s="86"/>
      <c r="I108" s="8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1:114" s="13" customFormat="1" ht="25.5" customHeight="1">
      <c r="A109" s="27" t="s">
        <v>20</v>
      </c>
      <c r="B109" s="196">
        <f>B107</f>
        <v>36837</v>
      </c>
      <c r="C109" s="94"/>
      <c r="D109" s="61">
        <f>D108+D107</f>
        <v>87904</v>
      </c>
      <c r="E109" s="57"/>
      <c r="F109" s="61">
        <f>F107</f>
        <v>0</v>
      </c>
      <c r="G109" s="98"/>
      <c r="H109" s="86"/>
      <c r="I109" s="86"/>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1:114" s="13" customFormat="1" ht="20.25" customHeight="1">
      <c r="A110" s="444" t="s">
        <v>63</v>
      </c>
      <c r="B110" s="442">
        <f>4590+1649.91</f>
        <v>6239.91</v>
      </c>
      <c r="C110" s="40" t="s">
        <v>84</v>
      </c>
      <c r="D110" s="181"/>
      <c r="E110" s="44" t="s">
        <v>213</v>
      </c>
      <c r="F110" s="59"/>
      <c r="G110" s="97"/>
      <c r="H110" s="86"/>
      <c r="I110" s="86"/>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1:114" s="13" customFormat="1" ht="81" customHeight="1">
      <c r="A111" s="445"/>
      <c r="B111" s="443"/>
      <c r="C111" s="40" t="s">
        <v>290</v>
      </c>
      <c r="D111" s="181"/>
      <c r="E111" s="44"/>
      <c r="F111" s="59"/>
      <c r="G111" s="97"/>
      <c r="H111" s="86"/>
      <c r="I111" s="86"/>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1:114" s="13" customFormat="1" ht="23.25" customHeight="1">
      <c r="A112" s="27" t="s">
        <v>20</v>
      </c>
      <c r="B112" s="196">
        <f>B110</f>
        <v>6239.91</v>
      </c>
      <c r="C112" s="94"/>
      <c r="D112" s="61">
        <f>SUM(D110)</f>
        <v>0</v>
      </c>
      <c r="E112" s="57"/>
      <c r="F112" s="61">
        <f>F110</f>
        <v>0</v>
      </c>
      <c r="G112" s="98"/>
      <c r="H112" s="86"/>
      <c r="I112" s="86"/>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1:114" s="13" customFormat="1" ht="43.5" customHeight="1">
      <c r="A113" s="21" t="s">
        <v>272</v>
      </c>
      <c r="B113" s="181"/>
      <c r="C113" s="40"/>
      <c r="D113" s="181"/>
      <c r="E113" s="157"/>
      <c r="F113" s="59"/>
      <c r="G113" s="98"/>
      <c r="H113" s="86"/>
      <c r="I113" s="8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1:114" s="13" customFormat="1" ht="16.5" customHeight="1">
      <c r="A114" s="27" t="s">
        <v>20</v>
      </c>
      <c r="B114" s="196">
        <f>B113</f>
        <v>0</v>
      </c>
      <c r="C114" s="94"/>
      <c r="D114" s="61">
        <f>D113</f>
        <v>0</v>
      </c>
      <c r="E114" s="57"/>
      <c r="F114" s="61"/>
      <c r="G114" s="98"/>
      <c r="H114" s="86"/>
      <c r="I114" s="8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1:114" s="13" customFormat="1" ht="19.5" customHeight="1">
      <c r="A115" s="21" t="s">
        <v>54</v>
      </c>
      <c r="B115" s="181"/>
      <c r="C115" s="40"/>
      <c r="D115" s="181"/>
      <c r="E115" s="62"/>
      <c r="F115" s="59"/>
      <c r="G115" s="98"/>
      <c r="H115" s="86"/>
      <c r="I115" s="86"/>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1:114" s="13" customFormat="1" ht="16.5" customHeight="1">
      <c r="A116" s="27" t="s">
        <v>20</v>
      </c>
      <c r="B116" s="196">
        <f>B115</f>
        <v>0</v>
      </c>
      <c r="C116" s="94"/>
      <c r="D116" s="60"/>
      <c r="E116" s="57"/>
      <c r="F116" s="61"/>
      <c r="G116" s="98"/>
      <c r="H116" s="86"/>
      <c r="I116" s="86"/>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1:114" s="13" customFormat="1" ht="19.5" customHeight="1">
      <c r="A117" s="21" t="s">
        <v>66</v>
      </c>
      <c r="B117" s="181"/>
      <c r="C117" s="40"/>
      <c r="D117" s="181"/>
      <c r="E117" s="62"/>
      <c r="F117" s="59"/>
      <c r="G117" s="98"/>
      <c r="H117" s="86"/>
      <c r="I117" s="86"/>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row>
    <row r="118" spans="1:114" s="13" customFormat="1" ht="16.5" customHeight="1">
      <c r="A118" s="27" t="s">
        <v>20</v>
      </c>
      <c r="B118" s="196">
        <f>B117</f>
        <v>0</v>
      </c>
      <c r="C118" s="94"/>
      <c r="D118" s="60"/>
      <c r="E118" s="57"/>
      <c r="F118" s="61"/>
      <c r="G118" s="98"/>
      <c r="H118" s="86"/>
      <c r="I118" s="86"/>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1:114" s="13" customFormat="1" ht="19.5" customHeight="1">
      <c r="A119" s="21" t="s">
        <v>67</v>
      </c>
      <c r="B119" s="181"/>
      <c r="C119" s="40"/>
      <c r="D119" s="181"/>
      <c r="E119" s="62"/>
      <c r="F119" s="59"/>
      <c r="G119" s="98"/>
      <c r="H119" s="86"/>
      <c r="I119" s="86"/>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1:114" s="13" customFormat="1" ht="16.5" customHeight="1">
      <c r="A120" s="27" t="s">
        <v>20</v>
      </c>
      <c r="B120" s="196">
        <f>SUM(B119)</f>
        <v>0</v>
      </c>
      <c r="C120" s="94"/>
      <c r="D120" s="60"/>
      <c r="E120" s="57"/>
      <c r="F120" s="61"/>
      <c r="G120" s="98"/>
      <c r="H120" s="86"/>
      <c r="I120" s="86"/>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1:114" s="13" customFormat="1" ht="47.25" customHeight="1">
      <c r="A121" s="44" t="s">
        <v>64</v>
      </c>
      <c r="B121" s="181">
        <v>400</v>
      </c>
      <c r="C121" s="40" t="s">
        <v>304</v>
      </c>
      <c r="D121" s="181"/>
      <c r="E121" s="62"/>
      <c r="F121" s="59"/>
      <c r="G121" s="98"/>
      <c r="H121" s="86"/>
      <c r="I121" s="86"/>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1:114" s="13" customFormat="1" ht="23.25" customHeight="1">
      <c r="A122" s="27" t="s">
        <v>20</v>
      </c>
      <c r="B122" s="196">
        <f>B121</f>
        <v>400</v>
      </c>
      <c r="C122" s="94"/>
      <c r="D122" s="60"/>
      <c r="E122" s="57"/>
      <c r="F122" s="61"/>
      <c r="G122" s="98"/>
      <c r="H122" s="86"/>
      <c r="I122" s="86"/>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1:114" s="13" customFormat="1" ht="29.25" customHeight="1">
      <c r="A123" s="21" t="s">
        <v>56</v>
      </c>
      <c r="B123" s="181"/>
      <c r="C123" s="40"/>
      <c r="D123" s="181"/>
      <c r="E123" s="62"/>
      <c r="F123" s="59"/>
      <c r="G123" s="98"/>
      <c r="H123" s="86"/>
      <c r="I123" s="8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row>
    <row r="124" spans="1:114" s="13" customFormat="1" ht="32.25" customHeight="1">
      <c r="A124" s="180" t="s">
        <v>20</v>
      </c>
      <c r="B124" s="181"/>
      <c r="C124" s="40"/>
      <c r="D124" s="181"/>
      <c r="E124" s="62"/>
      <c r="F124" s="59"/>
      <c r="G124" s="98"/>
      <c r="H124" s="86"/>
      <c r="I124" s="86"/>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row>
    <row r="125" spans="1:114" s="13" customFormat="1" ht="29.25" customHeight="1">
      <c r="A125" s="21" t="s">
        <v>111</v>
      </c>
      <c r="B125" s="181"/>
      <c r="C125" s="40"/>
      <c r="D125" s="181"/>
      <c r="E125" s="62"/>
      <c r="F125" s="59"/>
      <c r="G125" s="98"/>
      <c r="H125" s="43"/>
      <c r="I125" s="9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row>
    <row r="126" spans="1:114" s="13" customFormat="1" ht="31.5" customHeight="1" thickBot="1">
      <c r="A126" s="27" t="s">
        <v>20</v>
      </c>
      <c r="B126" s="48"/>
      <c r="C126" s="94"/>
      <c r="D126" s="86"/>
      <c r="E126" s="57"/>
      <c r="F126" s="61"/>
      <c r="G126" s="98"/>
      <c r="H126" s="74">
        <f>H125</f>
        <v>0</v>
      </c>
      <c r="I126" s="86"/>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row>
    <row r="127" spans="1:114" s="18" customFormat="1" ht="77.25" customHeight="1" thickBot="1">
      <c r="A127" s="195" t="s">
        <v>70</v>
      </c>
      <c r="B127" s="196">
        <f>SUM(B52+B54+B57+B59+B61+B64+B66+B78+B80+B82+B85+B88+B91+B94+B97+B99+B101+B103+B106+B109+B112+B114+B116+B118+B120+B122+B126)</f>
        <v>156965.09</v>
      </c>
      <c r="C127" s="196"/>
      <c r="D127" s="196">
        <f>SUM(D52+D54+D57+D59+D61+D64+D66+D78+D80+D82+D85+D88+D91+D94+D97+D99+D101+D103+D106+D109+D112+D114+D116+D118+D120+D122+D126)</f>
        <v>176978</v>
      </c>
      <c r="E127" s="196"/>
      <c r="F127" s="196">
        <f>F54+F59+F61+F64+F66+F78+F80+H113+F88+F91+F94+F97+F99+F101+F103+F106+F109+F112+F126+F57+F82+F85</f>
        <v>0</v>
      </c>
      <c r="G127" s="204"/>
      <c r="H127" s="196">
        <f>H66+H126</f>
        <v>0</v>
      </c>
      <c r="I127" s="196"/>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c r="CE127" s="187"/>
      <c r="CF127" s="187"/>
      <c r="CG127" s="187"/>
      <c r="CH127" s="187"/>
      <c r="CI127" s="187"/>
      <c r="CJ127" s="187"/>
      <c r="CK127" s="187"/>
      <c r="CL127" s="187"/>
      <c r="CM127" s="187"/>
      <c r="CN127" s="187"/>
      <c r="CO127" s="187"/>
      <c r="CP127" s="187"/>
      <c r="CQ127" s="187"/>
      <c r="CR127" s="187"/>
      <c r="CS127" s="187"/>
      <c r="CT127" s="187"/>
      <c r="CU127" s="187"/>
      <c r="CV127" s="187"/>
      <c r="CW127" s="187"/>
      <c r="CX127" s="187"/>
      <c r="CY127" s="187"/>
      <c r="CZ127" s="187"/>
      <c r="DA127" s="187"/>
      <c r="DB127" s="187"/>
      <c r="DC127" s="187"/>
      <c r="DD127" s="187"/>
      <c r="DE127" s="187"/>
      <c r="DF127" s="187"/>
      <c r="DG127" s="187"/>
      <c r="DH127" s="187"/>
      <c r="DI127" s="187"/>
      <c r="DJ127" s="187"/>
    </row>
    <row r="128" spans="1:114" s="18" customFormat="1" ht="92.25" customHeight="1" thickBot="1">
      <c r="A128" s="27" t="s">
        <v>69</v>
      </c>
      <c r="B128" s="205">
        <f>SUM(B50+B127)</f>
        <v>260935.49</v>
      </c>
      <c r="C128" s="205"/>
      <c r="D128" s="205">
        <f>D127+D50</f>
        <v>176978</v>
      </c>
      <c r="E128" s="205"/>
      <c r="F128" s="205">
        <f>F50+F127</f>
        <v>0</v>
      </c>
      <c r="G128" s="206"/>
      <c r="H128" s="205">
        <f>H50+H127</f>
        <v>0</v>
      </c>
      <c r="I128" s="205"/>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c r="CE128" s="187"/>
      <c r="CF128" s="187"/>
      <c r="CG128" s="187"/>
      <c r="CH128" s="187"/>
      <c r="CI128" s="187"/>
      <c r="CJ128" s="187"/>
      <c r="CK128" s="187"/>
      <c r="CL128" s="187"/>
      <c r="CM128" s="187"/>
      <c r="CN128" s="187"/>
      <c r="CO128" s="187"/>
      <c r="CP128" s="187"/>
      <c r="CQ128" s="187"/>
      <c r="CR128" s="187"/>
      <c r="CS128" s="187"/>
      <c r="CT128" s="187"/>
      <c r="CU128" s="187"/>
      <c r="CV128" s="187"/>
      <c r="CW128" s="187"/>
      <c r="CX128" s="187"/>
      <c r="CY128" s="187"/>
      <c r="CZ128" s="187"/>
      <c r="DA128" s="187"/>
      <c r="DB128" s="187"/>
      <c r="DC128" s="187"/>
      <c r="DD128" s="187"/>
      <c r="DE128" s="187"/>
      <c r="DF128" s="187"/>
      <c r="DG128" s="187"/>
      <c r="DH128" s="187"/>
      <c r="DI128" s="187"/>
      <c r="DJ128" s="187"/>
    </row>
    <row r="129" spans="1:114" s="8" customFormat="1" ht="9.75" customHeight="1" hidden="1">
      <c r="A129" s="90"/>
      <c r="B129" s="90"/>
      <c r="C129" s="90"/>
      <c r="D129" s="88"/>
      <c r="E129" s="89"/>
      <c r="F129" s="88"/>
      <c r="G129" s="88"/>
      <c r="H129" s="71"/>
      <c r="I129" s="71"/>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row>
    <row r="130" spans="1:114" s="8" customFormat="1" ht="31.5" customHeight="1">
      <c r="A130" s="89" t="s">
        <v>93</v>
      </c>
      <c r="B130" s="89"/>
      <c r="C130" s="89"/>
      <c r="D130" s="88"/>
      <c r="E130" s="89"/>
      <c r="F130" s="88"/>
      <c r="G130" s="89" t="s">
        <v>95</v>
      </c>
      <c r="H130" s="71"/>
      <c r="I130" s="71"/>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row>
    <row r="131" spans="1:9" ht="15.75" customHeight="1">
      <c r="A131" s="90"/>
      <c r="B131" s="90"/>
      <c r="C131" s="91"/>
      <c r="D131" s="92"/>
      <c r="E131" s="93"/>
      <c r="F131" s="90"/>
      <c r="G131" s="90"/>
      <c r="H131" s="73"/>
      <c r="I131" s="73"/>
    </row>
    <row r="132" spans="1:9" ht="20.25" customHeight="1">
      <c r="A132" s="90" t="s">
        <v>35</v>
      </c>
      <c r="B132" s="90"/>
      <c r="C132" s="91"/>
      <c r="D132" s="92"/>
      <c r="E132" s="93"/>
      <c r="F132" s="90"/>
      <c r="G132" s="90" t="s">
        <v>106</v>
      </c>
      <c r="H132" s="73"/>
      <c r="I132" s="73"/>
    </row>
    <row r="133" spans="1:9" ht="14.25" customHeight="1">
      <c r="A133" s="91"/>
      <c r="B133" s="92"/>
      <c r="C133" s="91"/>
      <c r="D133" s="92"/>
      <c r="E133" s="90"/>
      <c r="F133" s="92"/>
      <c r="G133" s="92"/>
      <c r="H133" s="73"/>
      <c r="I133" s="73"/>
    </row>
    <row r="134" spans="1:9" ht="20.25" customHeight="1">
      <c r="A134" s="91" t="s">
        <v>228</v>
      </c>
      <c r="B134" s="92"/>
      <c r="C134" s="91"/>
      <c r="D134" s="92"/>
      <c r="E134" s="90"/>
      <c r="F134" s="92"/>
      <c r="G134" s="92"/>
      <c r="H134" s="73"/>
      <c r="I134" s="73"/>
    </row>
    <row r="135" spans="1:9" ht="20.25" customHeight="1">
      <c r="A135" s="91" t="s">
        <v>229</v>
      </c>
      <c r="B135" s="92"/>
      <c r="C135" s="91"/>
      <c r="D135" s="92"/>
      <c r="E135" s="90"/>
      <c r="F135" s="92"/>
      <c r="G135" s="92"/>
      <c r="H135" s="73"/>
      <c r="I135" s="73"/>
    </row>
    <row r="136" spans="1:9" ht="12" customHeight="1">
      <c r="A136" s="2"/>
      <c r="B136" s="2"/>
      <c r="C136" s="6"/>
      <c r="D136" s="2"/>
      <c r="E136" s="2"/>
      <c r="F136" s="2"/>
      <c r="G136" s="2"/>
      <c r="H136" s="2"/>
      <c r="I136" s="2"/>
    </row>
    <row r="137" spans="1:9" ht="15">
      <c r="A137" s="2"/>
      <c r="B137" s="2"/>
      <c r="C137" s="6"/>
      <c r="D137" s="2"/>
      <c r="E137" s="2"/>
      <c r="F137" s="2"/>
      <c r="G137" s="2"/>
      <c r="H137" s="2"/>
      <c r="I137" s="2"/>
    </row>
    <row r="138" spans="1:9" ht="15">
      <c r="A138" s="3"/>
      <c r="B138" s="2"/>
      <c r="C138" s="6"/>
      <c r="D138" s="2"/>
      <c r="E138" s="2"/>
      <c r="F138" s="2"/>
      <c r="G138" s="2"/>
      <c r="H138" s="2"/>
      <c r="I138" s="2"/>
    </row>
  </sheetData>
  <sheetProtection/>
  <mergeCells count="59">
    <mergeCell ref="D9:E10"/>
    <mergeCell ref="F9:G10"/>
    <mergeCell ref="G4:I4"/>
    <mergeCell ref="A5:I5"/>
    <mergeCell ref="A6:I6"/>
    <mergeCell ref="A7:I7"/>
    <mergeCell ref="E23:E24"/>
    <mergeCell ref="F23:F24"/>
    <mergeCell ref="H9:I10"/>
    <mergeCell ref="A12:A13"/>
    <mergeCell ref="B12:B13"/>
    <mergeCell ref="C12:C13"/>
    <mergeCell ref="A8:A11"/>
    <mergeCell ref="B8:E8"/>
    <mergeCell ref="F8:I8"/>
    <mergeCell ref="B9:C10"/>
    <mergeCell ref="G23:G24"/>
    <mergeCell ref="H23:H24"/>
    <mergeCell ref="I23:I24"/>
    <mergeCell ref="A28:A29"/>
    <mergeCell ref="B28:B29"/>
    <mergeCell ref="C28:C29"/>
    <mergeCell ref="A23:A24"/>
    <mergeCell ref="B23:B24"/>
    <mergeCell ref="C23:C24"/>
    <mergeCell ref="D23:D24"/>
    <mergeCell ref="A31:A32"/>
    <mergeCell ref="B31:B32"/>
    <mergeCell ref="C31:C33"/>
    <mergeCell ref="C36:C37"/>
    <mergeCell ref="C44:C45"/>
    <mergeCell ref="C46:C47"/>
    <mergeCell ref="D83:D84"/>
    <mergeCell ref="C84:C85"/>
    <mergeCell ref="C48:C49"/>
    <mergeCell ref="C51:C52"/>
    <mergeCell ref="C53:C54"/>
    <mergeCell ref="A55:A56"/>
    <mergeCell ref="B55:B56"/>
    <mergeCell ref="A62:A63"/>
    <mergeCell ref="B62:B63"/>
    <mergeCell ref="A92:A93"/>
    <mergeCell ref="B92:B93"/>
    <mergeCell ref="C65:C66"/>
    <mergeCell ref="C77:C78"/>
    <mergeCell ref="A83:A84"/>
    <mergeCell ref="B83:B84"/>
    <mergeCell ref="A86:A87"/>
    <mergeCell ref="B86:B87"/>
    <mergeCell ref="A89:A90"/>
    <mergeCell ref="B89:B90"/>
    <mergeCell ref="A110:A111"/>
    <mergeCell ref="B110:B111"/>
    <mergeCell ref="A95:A96"/>
    <mergeCell ref="B95:B96"/>
    <mergeCell ref="A104:A105"/>
    <mergeCell ref="B104:B105"/>
    <mergeCell ref="A107:A108"/>
    <mergeCell ref="B107:B108"/>
  </mergeCells>
  <printOptions/>
  <pageMargins left="0.3937007874015748" right="0.3937007874015748" top="0.3937007874015748" bottom="0.3937007874015748" header="0.31496062992125984" footer="0.31496062992125984"/>
  <pageSetup horizontalDpi="600" verticalDpi="600" orientation="portrait" paperSize="9" scale="55" r:id="rId1"/>
</worksheet>
</file>

<file path=xl/worksheets/sheet22.xml><?xml version="1.0" encoding="utf-8"?>
<worksheet xmlns="http://schemas.openxmlformats.org/spreadsheetml/2006/main" xmlns:r="http://schemas.openxmlformats.org/officeDocument/2006/relationships">
  <dimension ref="A1:DJ171"/>
  <sheetViews>
    <sheetView zoomScalePageLayoutView="0" workbookViewId="0" topLeftCell="A1">
      <selection activeCell="A1" sqref="A1:IV16384"/>
    </sheetView>
  </sheetViews>
  <sheetFormatPr defaultColWidth="25.7109375" defaultRowHeight="15"/>
  <cols>
    <col min="1" max="1" width="14.28125" style="4" customWidth="1"/>
    <col min="2" max="2" width="15.00390625" style="226" customWidth="1"/>
    <col min="3" max="3" width="43.28125" style="226" customWidth="1"/>
    <col min="4" max="4" width="12.28125" style="275" customWidth="1"/>
    <col min="5" max="5" width="20.28125" style="226" customWidth="1"/>
    <col min="6" max="6" width="12.57421875" style="4" customWidth="1"/>
    <col min="7" max="7" width="11.00390625" style="4" customWidth="1"/>
    <col min="8" max="8" width="12.00390625" style="4" customWidth="1"/>
    <col min="9" max="9" width="18.281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349</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19.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24</v>
      </c>
      <c r="B12" s="369"/>
      <c r="C12" s="370"/>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27.75" customHeight="1">
      <c r="A15" s="366" t="s">
        <v>7</v>
      </c>
      <c r="B15" s="359">
        <f>776.6+847.8</f>
        <v>1624.4</v>
      </c>
      <c r="C15" s="361" t="s">
        <v>330</v>
      </c>
      <c r="D15" s="214"/>
      <c r="E15" s="276"/>
      <c r="F15" s="236"/>
      <c r="G15" s="230"/>
      <c r="H15" s="228"/>
      <c r="I15" s="213"/>
      <c r="J15" s="235"/>
      <c r="K15" s="246"/>
    </row>
    <row r="16" spans="1:11" ht="13.5" customHeight="1">
      <c r="A16" s="367"/>
      <c r="B16" s="360"/>
      <c r="C16" s="362"/>
      <c r="D16" s="214"/>
      <c r="E16" s="261"/>
      <c r="F16" s="236"/>
      <c r="G16" s="230"/>
      <c r="H16" s="228"/>
      <c r="I16" s="228"/>
      <c r="J16" s="235"/>
      <c r="K16" s="246"/>
    </row>
    <row r="17" spans="1:114" s="245" customFormat="1" ht="22.5" customHeight="1">
      <c r="A17" s="229" t="s">
        <v>19</v>
      </c>
      <c r="B17" s="238">
        <f>SUM(B15)</f>
        <v>1624.4</v>
      </c>
      <c r="C17" s="215"/>
      <c r="D17" s="279">
        <f>D16+D15</f>
        <v>0</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66" t="s">
        <v>32</v>
      </c>
      <c r="B18" s="359">
        <v>670</v>
      </c>
      <c r="C18" s="215" t="s">
        <v>353</v>
      </c>
      <c r="D18" s="214"/>
      <c r="E18" s="276"/>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21.75" customHeight="1" hidden="1">
      <c r="A19" s="367"/>
      <c r="B19" s="360"/>
      <c r="C19" s="304"/>
      <c r="D19" s="280"/>
      <c r="E19" s="261"/>
      <c r="F19" s="247"/>
      <c r="G19" s="230"/>
      <c r="H19" s="229"/>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4" s="245" customFormat="1" ht="33" customHeight="1">
      <c r="A20" s="229" t="s">
        <v>19</v>
      </c>
      <c r="B20" s="238">
        <f>SUM(B18)</f>
        <v>670</v>
      </c>
      <c r="C20" s="303"/>
      <c r="D20" s="279">
        <f>D19+D18</f>
        <v>0</v>
      </c>
      <c r="E20" s="278"/>
      <c r="F20" s="248">
        <f>F19</f>
        <v>0</v>
      </c>
      <c r="G20" s="240"/>
      <c r="H20" s="229">
        <f>SUM(H18:H19)</f>
        <v>0</v>
      </c>
      <c r="I20" s="229"/>
      <c r="J20" s="242"/>
      <c r="K20" s="243"/>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row>
    <row r="21" spans="1:11" ht="20.25" customHeight="1">
      <c r="A21" s="366" t="s">
        <v>55</v>
      </c>
      <c r="B21" s="359"/>
      <c r="C21" s="361"/>
      <c r="D21" s="214"/>
      <c r="E21" s="276"/>
      <c r="F21" s="236"/>
      <c r="G21" s="230"/>
      <c r="H21" s="228"/>
      <c r="I21" s="213"/>
      <c r="J21" s="235"/>
      <c r="K21" s="246"/>
    </row>
    <row r="22" spans="1:11" ht="16.5" customHeight="1">
      <c r="A22" s="367"/>
      <c r="B22" s="360"/>
      <c r="C22" s="416"/>
      <c r="D22" s="249"/>
      <c r="E22" s="261"/>
      <c r="F22" s="236"/>
      <c r="G22" s="230"/>
      <c r="H22" s="228"/>
      <c r="I22" s="228"/>
      <c r="J22" s="235"/>
      <c r="K22" s="246"/>
    </row>
    <row r="23" spans="1:114" s="245" customFormat="1" ht="28.5" customHeight="1">
      <c r="A23" s="229" t="s">
        <v>20</v>
      </c>
      <c r="B23" s="238">
        <f>B21</f>
        <v>0</v>
      </c>
      <c r="C23" s="146"/>
      <c r="D23" s="281">
        <f>D22+D21</f>
        <v>0</v>
      </c>
      <c r="E23" s="282"/>
      <c r="F23" s="239"/>
      <c r="G23" s="240"/>
      <c r="H23" s="229">
        <f>SUM(H21:H22)</f>
        <v>0</v>
      </c>
      <c r="I23" s="229"/>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4" s="245" customFormat="1" ht="47.25" customHeight="1">
      <c r="A24" s="366" t="s">
        <v>8</v>
      </c>
      <c r="B24" s="359">
        <v>2940</v>
      </c>
      <c r="C24" s="361" t="s">
        <v>335</v>
      </c>
      <c r="D24" s="214"/>
      <c r="E24" s="276"/>
      <c r="F24" s="239"/>
      <c r="G24" s="240"/>
      <c r="H24" s="228"/>
      <c r="I24" s="213"/>
      <c r="J24" s="242"/>
      <c r="K24" s="243"/>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row>
    <row r="25" spans="1:11" ht="15.75" customHeight="1">
      <c r="A25" s="367"/>
      <c r="B25" s="360"/>
      <c r="C25" s="362"/>
      <c r="D25" s="249"/>
      <c r="E25" s="261"/>
      <c r="F25" s="236"/>
      <c r="G25" s="230"/>
      <c r="H25" s="237"/>
      <c r="I25" s="230"/>
      <c r="J25" s="235"/>
      <c r="K25" s="246"/>
    </row>
    <row r="26" spans="1:114" s="245" customFormat="1" ht="23.25" customHeight="1">
      <c r="A26" s="229" t="s">
        <v>20</v>
      </c>
      <c r="B26" s="238">
        <f>B24</f>
        <v>2940</v>
      </c>
      <c r="C26" s="215"/>
      <c r="D26" s="281">
        <f>D25+D24</f>
        <v>0</v>
      </c>
      <c r="E26" s="282"/>
      <c r="F26" s="239"/>
      <c r="G26" s="240"/>
      <c r="H26" s="241">
        <f>SUM(H24:H25)</f>
        <v>0</v>
      </c>
      <c r="I26" s="229"/>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8" customHeight="1">
      <c r="A27" s="366" t="s">
        <v>9</v>
      </c>
      <c r="B27" s="359">
        <v>697</v>
      </c>
      <c r="C27" s="361" t="s">
        <v>352</v>
      </c>
      <c r="D27" s="357"/>
      <c r="E27" s="357"/>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4.25" customHeight="1">
      <c r="A28" s="372"/>
      <c r="B28" s="373"/>
      <c r="C28" s="375"/>
      <c r="D28" s="357"/>
      <c r="E28" s="357"/>
      <c r="F28" s="374"/>
      <c r="G28" s="371"/>
      <c r="H28" s="358"/>
      <c r="I28" s="358"/>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10.5" customHeight="1">
      <c r="A29" s="367"/>
      <c r="B29" s="360"/>
      <c r="C29" s="362"/>
      <c r="D29" s="262"/>
      <c r="E29" s="261"/>
      <c r="F29" s="156"/>
      <c r="G29" s="240"/>
      <c r="H29" s="231"/>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4" s="245" customFormat="1" ht="22.5" customHeight="1">
      <c r="A30" s="229" t="s">
        <v>20</v>
      </c>
      <c r="B30" s="238">
        <f>SUM(B27:B28)</f>
        <v>697</v>
      </c>
      <c r="C30" s="216"/>
      <c r="D30" s="281">
        <f>D29+D27</f>
        <v>0</v>
      </c>
      <c r="E30" s="282"/>
      <c r="F30" s="250"/>
      <c r="G30" s="240"/>
      <c r="H30" s="231">
        <f>SUM(H27:H29)</f>
        <v>0</v>
      </c>
      <c r="I30" s="231"/>
      <c r="J30" s="242"/>
      <c r="K30" s="243"/>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row>
    <row r="31" spans="1:11" ht="14.25" customHeight="1">
      <c r="A31" s="366" t="s">
        <v>10</v>
      </c>
      <c r="B31" s="359"/>
      <c r="C31" s="361"/>
      <c r="D31" s="214"/>
      <c r="E31" s="283"/>
      <c r="F31" s="156"/>
      <c r="G31" s="230"/>
      <c r="H31" s="207"/>
      <c r="I31" s="207"/>
      <c r="J31" s="235"/>
      <c r="K31" s="246"/>
    </row>
    <row r="32" spans="1:11" ht="27.75" customHeight="1">
      <c r="A32" s="367"/>
      <c r="B32" s="360"/>
      <c r="C32" s="362"/>
      <c r="D32" s="214"/>
      <c r="E32" s="214"/>
      <c r="F32" s="156"/>
      <c r="G32" s="230"/>
      <c r="H32" s="207"/>
      <c r="I32" s="207"/>
      <c r="J32" s="235"/>
      <c r="K32" s="246"/>
    </row>
    <row r="33" spans="1:114" s="245" customFormat="1" ht="24" customHeight="1">
      <c r="A33" s="231" t="s">
        <v>20</v>
      </c>
      <c r="B33" s="238">
        <f>SUM(B31)</f>
        <v>0</v>
      </c>
      <c r="C33" s="216"/>
      <c r="D33" s="277">
        <f>D32+D31</f>
        <v>0</v>
      </c>
      <c r="E33" s="284"/>
      <c r="F33" s="160"/>
      <c r="G33" s="240"/>
      <c r="H33" s="231">
        <f>SUM(H31:H32)</f>
        <v>0</v>
      </c>
      <c r="I33" s="231"/>
      <c r="J33" s="242"/>
      <c r="K33" s="243"/>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row>
    <row r="34" spans="1:10" ht="26.25" customHeight="1">
      <c r="A34" s="365" t="s">
        <v>11</v>
      </c>
      <c r="B34" s="369">
        <v>24050</v>
      </c>
      <c r="C34" s="370" t="s">
        <v>337</v>
      </c>
      <c r="D34" s="214"/>
      <c r="E34" s="214"/>
      <c r="F34" s="251"/>
      <c r="G34" s="230"/>
      <c r="H34" s="207"/>
      <c r="I34" s="207"/>
      <c r="J34" s="235"/>
    </row>
    <row r="35" spans="1:10" ht="24.75" customHeight="1">
      <c r="A35" s="365"/>
      <c r="B35" s="369"/>
      <c r="C35" s="370"/>
      <c r="D35" s="214"/>
      <c r="E35" s="261"/>
      <c r="F35" s="251"/>
      <c r="G35" s="230"/>
      <c r="H35" s="207"/>
      <c r="I35" s="207"/>
      <c r="J35" s="235"/>
    </row>
    <row r="36" spans="1:114" s="245" customFormat="1" ht="27.75" customHeight="1">
      <c r="A36" s="229" t="s">
        <v>20</v>
      </c>
      <c r="B36" s="238">
        <f>SUM(B34:B35)</f>
        <v>24050</v>
      </c>
      <c r="C36" s="146"/>
      <c r="D36" s="285">
        <f>D35+D34</f>
        <v>0</v>
      </c>
      <c r="E36" s="286"/>
      <c r="F36" s="250"/>
      <c r="G36" s="240"/>
      <c r="H36" s="231">
        <f>SUM(H34:H35)</f>
        <v>0</v>
      </c>
      <c r="I36" s="231"/>
      <c r="J36" s="242"/>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row>
    <row r="37" spans="1:10" ht="20.25" customHeight="1">
      <c r="A37" s="365" t="s">
        <v>49</v>
      </c>
      <c r="B37" s="369">
        <v>179.8</v>
      </c>
      <c r="C37" s="361" t="s">
        <v>336</v>
      </c>
      <c r="D37" s="214"/>
      <c r="E37" s="214"/>
      <c r="F37" s="251"/>
      <c r="G37" s="230"/>
      <c r="H37" s="207"/>
      <c r="I37" s="207"/>
      <c r="J37" s="235"/>
    </row>
    <row r="38" spans="1:10" ht="12" customHeight="1">
      <c r="A38" s="365"/>
      <c r="B38" s="369"/>
      <c r="C38" s="375"/>
      <c r="D38" s="262"/>
      <c r="E38" s="261"/>
      <c r="F38" s="251"/>
      <c r="G38" s="230"/>
      <c r="H38" s="207"/>
      <c r="I38" s="207"/>
      <c r="J38" s="235"/>
    </row>
    <row r="39" spans="1:114" s="245" customFormat="1" ht="36" customHeight="1">
      <c r="A39" s="229" t="s">
        <v>20</v>
      </c>
      <c r="B39" s="238">
        <f>SUM(B37:B38)</f>
        <v>179.8</v>
      </c>
      <c r="C39" s="362"/>
      <c r="D39" s="221">
        <f>D38+D37</f>
        <v>0</v>
      </c>
      <c r="E39" s="286"/>
      <c r="F39" s="250"/>
      <c r="G39" s="240"/>
      <c r="H39" s="231">
        <f>H37</f>
        <v>0</v>
      </c>
      <c r="I39" s="231"/>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14" s="245" customFormat="1" ht="21" customHeight="1">
      <c r="A40" s="366" t="s">
        <v>12</v>
      </c>
      <c r="B40" s="359">
        <f>9410+19470+1680+2275</f>
        <v>32835</v>
      </c>
      <c r="C40" s="361" t="s">
        <v>351</v>
      </c>
      <c r="D40" s="262"/>
      <c r="E40" s="214"/>
      <c r="F40" s="250"/>
      <c r="G40" s="240"/>
      <c r="H40" s="207"/>
      <c r="I40" s="207"/>
      <c r="J40" s="242"/>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row>
    <row r="41" spans="1:10" ht="63" customHeight="1">
      <c r="A41" s="367"/>
      <c r="B41" s="360"/>
      <c r="C41" s="362"/>
      <c r="D41" s="214"/>
      <c r="E41" s="261"/>
      <c r="F41" s="156"/>
      <c r="G41" s="230"/>
      <c r="H41" s="207"/>
      <c r="I41" s="207"/>
      <c r="J41" s="235"/>
    </row>
    <row r="42" spans="1:114" s="245" customFormat="1" ht="23.25" customHeight="1">
      <c r="A42" s="229" t="s">
        <v>20</v>
      </c>
      <c r="B42" s="238">
        <f>SUM(B40)</f>
        <v>32835</v>
      </c>
      <c r="C42" s="215"/>
      <c r="D42" s="220">
        <f>D41+D40</f>
        <v>0</v>
      </c>
      <c r="E42" s="262"/>
      <c r="F42" s="250"/>
      <c r="G42" s="240"/>
      <c r="H42" s="231">
        <f>SUM(H40:H41)</f>
        <v>0</v>
      </c>
      <c r="I42" s="231"/>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14" s="245" customFormat="1" ht="32.25" customHeight="1">
      <c r="A43" s="366" t="s">
        <v>21</v>
      </c>
      <c r="B43" s="359">
        <f>757+675</f>
        <v>1432</v>
      </c>
      <c r="C43" s="361" t="s">
        <v>354</v>
      </c>
      <c r="D43" s="214"/>
      <c r="E43" s="214"/>
      <c r="F43" s="250"/>
      <c r="G43" s="240"/>
      <c r="H43" s="207"/>
      <c r="I43" s="207"/>
      <c r="J43" s="242"/>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row>
    <row r="44" spans="1:10" ht="16.5" customHeight="1">
      <c r="A44" s="367"/>
      <c r="B44" s="360"/>
      <c r="C44" s="375"/>
      <c r="D44" s="280"/>
      <c r="E44" s="261"/>
      <c r="F44" s="156"/>
      <c r="G44" s="230"/>
      <c r="H44" s="207"/>
      <c r="I44" s="207"/>
      <c r="J44" s="235"/>
    </row>
    <row r="45" spans="1:114" s="245" customFormat="1" ht="27.75" customHeight="1">
      <c r="A45" s="229" t="s">
        <v>20</v>
      </c>
      <c r="B45" s="238">
        <f>SUM(B43:B43)</f>
        <v>1432</v>
      </c>
      <c r="C45" s="362"/>
      <c r="D45" s="221">
        <f>D44+D43</f>
        <v>0</v>
      </c>
      <c r="E45" s="286"/>
      <c r="F45" s="250"/>
      <c r="G45" s="240"/>
      <c r="H45" s="231">
        <f>SUM(H43:H44)</f>
        <v>0</v>
      </c>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14" s="245" customFormat="1" ht="21" customHeight="1">
      <c r="A46" s="366" t="s">
        <v>13</v>
      </c>
      <c r="B46" s="359"/>
      <c r="C46" s="361"/>
      <c r="D46" s="262"/>
      <c r="E46" s="276"/>
      <c r="F46" s="250"/>
      <c r="G46" s="240"/>
      <c r="H46" s="231"/>
      <c r="I46" s="231"/>
      <c r="J46" s="242"/>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row>
    <row r="47" spans="1:10" ht="23.25" customHeight="1">
      <c r="A47" s="367"/>
      <c r="B47" s="360"/>
      <c r="C47" s="362"/>
      <c r="D47" s="214"/>
      <c r="E47" s="214"/>
      <c r="F47" s="152"/>
      <c r="G47" s="230"/>
      <c r="H47" s="207"/>
      <c r="I47" s="207"/>
      <c r="J47" s="235"/>
    </row>
    <row r="48" spans="1:114" s="245" customFormat="1" ht="31.5" customHeight="1">
      <c r="A48" s="229" t="s">
        <v>20</v>
      </c>
      <c r="B48" s="238">
        <f>SUM(B46)</f>
        <v>0</v>
      </c>
      <c r="C48" s="215"/>
      <c r="D48" s="220">
        <f>D47+D46</f>
        <v>0</v>
      </c>
      <c r="E48" s="286"/>
      <c r="F48" s="250"/>
      <c r="G48" s="240"/>
      <c r="H48" s="231">
        <f>SUM(H46:H47)</f>
        <v>0</v>
      </c>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14" s="245" customFormat="1" ht="15" customHeight="1">
      <c r="A49" s="366" t="s">
        <v>14</v>
      </c>
      <c r="B49" s="359">
        <v>880</v>
      </c>
      <c r="C49" s="361" t="s">
        <v>350</v>
      </c>
      <c r="D49" s="261"/>
      <c r="E49" s="276"/>
      <c r="F49" s="250"/>
      <c r="G49" s="240"/>
      <c r="H49" s="231"/>
      <c r="I49" s="231"/>
      <c r="J49" s="242"/>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row>
    <row r="50" spans="1:10" ht="32.25" customHeight="1">
      <c r="A50" s="367"/>
      <c r="B50" s="360"/>
      <c r="C50" s="362"/>
      <c r="D50" s="214"/>
      <c r="E50" s="214"/>
      <c r="F50" s="152"/>
      <c r="G50" s="230"/>
      <c r="H50" s="162"/>
      <c r="I50" s="207"/>
      <c r="J50" s="235"/>
    </row>
    <row r="51" spans="1:114" s="245" customFormat="1" ht="19.5" customHeight="1">
      <c r="A51" s="229" t="s">
        <v>20</v>
      </c>
      <c r="B51" s="238">
        <f>B49</f>
        <v>880</v>
      </c>
      <c r="C51" s="216"/>
      <c r="D51" s="220">
        <f>D50+D49</f>
        <v>0</v>
      </c>
      <c r="E51" s="286"/>
      <c r="F51" s="250">
        <f>F50</f>
        <v>0</v>
      </c>
      <c r="G51" s="240"/>
      <c r="H51" s="231">
        <f>SUM(H49:H50)</f>
        <v>0</v>
      </c>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14" s="245" customFormat="1" ht="27.75" customHeight="1">
      <c r="A52" s="366" t="s">
        <v>15</v>
      </c>
      <c r="B52" s="359">
        <f>9699+350</f>
        <v>10049</v>
      </c>
      <c r="C52" s="361" t="s">
        <v>338</v>
      </c>
      <c r="D52" s="261"/>
      <c r="E52" s="276"/>
      <c r="F52" s="250"/>
      <c r="G52" s="240"/>
      <c r="H52" s="231"/>
      <c r="I52" s="231"/>
      <c r="J52" s="242"/>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row>
    <row r="53" spans="1:10" ht="23.25" customHeight="1">
      <c r="A53" s="367"/>
      <c r="B53" s="360"/>
      <c r="C53" s="362"/>
      <c r="D53" s="214"/>
      <c r="E53" s="214"/>
      <c r="F53" s="152"/>
      <c r="G53" s="230"/>
      <c r="H53" s="207"/>
      <c r="I53" s="207"/>
      <c r="J53" s="235"/>
    </row>
    <row r="54" spans="1:114" s="245" customFormat="1" ht="21.75" customHeight="1">
      <c r="A54" s="229" t="s">
        <v>20</v>
      </c>
      <c r="B54" s="238">
        <f>SUM(B52:B52)</f>
        <v>10049</v>
      </c>
      <c r="C54" s="215"/>
      <c r="D54" s="220">
        <f>D53+D52</f>
        <v>0</v>
      </c>
      <c r="E54" s="262"/>
      <c r="F54" s="250"/>
      <c r="G54" s="240"/>
      <c r="H54" s="231">
        <f>SUM(H52:H53)</f>
        <v>0</v>
      </c>
      <c r="I54" s="231"/>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14" s="245" customFormat="1" ht="31.5" customHeight="1">
      <c r="A55" s="366" t="s">
        <v>16</v>
      </c>
      <c r="B55" s="359">
        <f>6621.99+3220.95+4500+1624.6+3445</f>
        <v>19412.54</v>
      </c>
      <c r="C55" s="361" t="s">
        <v>347</v>
      </c>
      <c r="D55" s="261"/>
      <c r="E55" s="276"/>
      <c r="F55" s="152"/>
      <c r="G55" s="230"/>
      <c r="H55" s="207"/>
      <c r="I55" s="207"/>
      <c r="J55" s="242"/>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row>
    <row r="56" spans="1:10" ht="23.25" customHeight="1">
      <c r="A56" s="367"/>
      <c r="B56" s="360"/>
      <c r="C56" s="375"/>
      <c r="D56" s="214"/>
      <c r="E56" s="214"/>
      <c r="F56" s="152"/>
      <c r="G56" s="230"/>
      <c r="H56" s="207"/>
      <c r="I56" s="207"/>
      <c r="J56" s="235"/>
    </row>
    <row r="57" spans="1:114" s="245" customFormat="1" ht="30" customHeight="1">
      <c r="A57" s="229" t="s">
        <v>20</v>
      </c>
      <c r="B57" s="252">
        <f>SUM(B55:B55)</f>
        <v>19412.54</v>
      </c>
      <c r="C57" s="362"/>
      <c r="D57" s="220">
        <f>D56+D55</f>
        <v>0</v>
      </c>
      <c r="E57" s="262"/>
      <c r="F57" s="250">
        <f>F56+F55</f>
        <v>0</v>
      </c>
      <c r="G57" s="240"/>
      <c r="H57" s="231">
        <f>SUM(H55:H56)</f>
        <v>0</v>
      </c>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14" s="245" customFormat="1" ht="13.5" customHeight="1">
      <c r="A58" s="366" t="s">
        <v>17</v>
      </c>
      <c r="B58" s="359"/>
      <c r="C58" s="361"/>
      <c r="D58" s="261"/>
      <c r="E58" s="276"/>
      <c r="F58" s="250"/>
      <c r="G58" s="240"/>
      <c r="H58" s="231"/>
      <c r="I58" s="231"/>
      <c r="J58" s="242"/>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row>
    <row r="59" spans="1:10" ht="23.25" customHeight="1">
      <c r="A59" s="367"/>
      <c r="B59" s="360"/>
      <c r="C59" s="375"/>
      <c r="D59" s="214"/>
      <c r="E59" s="214"/>
      <c r="F59" s="152"/>
      <c r="G59" s="230"/>
      <c r="H59" s="207"/>
      <c r="I59" s="207"/>
      <c r="J59" s="235"/>
    </row>
    <row r="60" spans="1:114" s="245" customFormat="1" ht="24.75" customHeight="1">
      <c r="A60" s="229" t="s">
        <v>20</v>
      </c>
      <c r="B60" s="238">
        <f>SUM(B58:B58)</f>
        <v>0</v>
      </c>
      <c r="C60" s="362"/>
      <c r="D60" s="220">
        <f>D59+D58</f>
        <v>0</v>
      </c>
      <c r="E60" s="286"/>
      <c r="F60" s="250"/>
      <c r="G60" s="240"/>
      <c r="H60" s="231">
        <f>SUM(H58:H59)</f>
        <v>0</v>
      </c>
      <c r="I60" s="231"/>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14" s="245" customFormat="1" ht="15" customHeight="1">
      <c r="A61" s="366" t="s">
        <v>18</v>
      </c>
      <c r="B61" s="359"/>
      <c r="C61" s="361"/>
      <c r="D61" s="214"/>
      <c r="E61" s="214"/>
      <c r="F61" s="250"/>
      <c r="G61" s="240"/>
      <c r="H61" s="207"/>
      <c r="I61" s="207"/>
      <c r="J61" s="242"/>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row>
    <row r="62" spans="1:10" ht="27" customHeight="1">
      <c r="A62" s="367"/>
      <c r="B62" s="360"/>
      <c r="C62" s="375"/>
      <c r="D62" s="280"/>
      <c r="E62" s="261"/>
      <c r="F62" s="152"/>
      <c r="G62" s="230"/>
      <c r="H62" s="207"/>
      <c r="I62" s="207"/>
      <c r="J62" s="235"/>
    </row>
    <row r="63" spans="1:10" ht="21.75" customHeight="1" thickBot="1">
      <c r="A63" s="229" t="s">
        <v>20</v>
      </c>
      <c r="B63" s="238">
        <f>SUM(B61:B61)</f>
        <v>0</v>
      </c>
      <c r="C63" s="362"/>
      <c r="D63" s="220">
        <f>D62+D61</f>
        <v>0</v>
      </c>
      <c r="E63" s="286"/>
      <c r="F63" s="250">
        <f>F62</f>
        <v>0</v>
      </c>
      <c r="G63" s="230"/>
      <c r="H63" s="231">
        <f>SUM(H61:H62)</f>
        <v>0</v>
      </c>
      <c r="I63" s="207"/>
      <c r="J63" s="235"/>
    </row>
    <row r="64" spans="1:114" s="258" customFormat="1" ht="39" customHeight="1" thickBot="1">
      <c r="A64" s="253" t="s">
        <v>68</v>
      </c>
      <c r="B64" s="220">
        <f>SUM(B14+B17+B20+B23+B26+B30+B33+B36+B39+B42+B45+B48+B51+B54+B57+B60+B63)</f>
        <v>94769.73999999999</v>
      </c>
      <c r="C64" s="147"/>
      <c r="D64" s="254">
        <f>D63+D60+D57+D54+D51+D48+D45+D42+D39+D36+D33+D30+D26+D23+D20+D17+D14</f>
        <v>0</v>
      </c>
      <c r="E64" s="221"/>
      <c r="F64" s="255">
        <f>F51+F63+F20+F57</f>
        <v>0</v>
      </c>
      <c r="G64" s="148"/>
      <c r="H64" s="160">
        <f>H14+H17+H20+H23+H26+H30+H33+H36+H39+H42+H45+H48+H51+H54+H57+H60+H63</f>
        <v>0</v>
      </c>
      <c r="I64" s="161"/>
      <c r="J64" s="256"/>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257"/>
      <c r="DD64" s="257"/>
      <c r="DE64" s="257"/>
      <c r="DF64" s="257"/>
      <c r="DG64" s="257"/>
      <c r="DH64" s="257"/>
      <c r="DI64" s="257"/>
      <c r="DJ64" s="257"/>
    </row>
    <row r="65" spans="1:10" s="257" customFormat="1" ht="15" customHeight="1">
      <c r="A65" s="376" t="s">
        <v>41</v>
      </c>
      <c r="B65" s="359"/>
      <c r="C65" s="361"/>
      <c r="D65" s="249"/>
      <c r="E65" s="276"/>
      <c r="F65" s="255"/>
      <c r="G65" s="148"/>
      <c r="H65" s="160"/>
      <c r="I65" s="161"/>
      <c r="J65" s="256"/>
    </row>
    <row r="66" spans="1:10" ht="32.25" customHeight="1">
      <c r="A66" s="377"/>
      <c r="B66" s="360"/>
      <c r="C66" s="375"/>
      <c r="D66" s="214"/>
      <c r="E66" s="214"/>
      <c r="F66" s="152"/>
      <c r="G66" s="230"/>
      <c r="H66" s="207"/>
      <c r="I66" s="207"/>
      <c r="J66" s="242"/>
    </row>
    <row r="67" spans="1:114" s="245" customFormat="1" ht="18" customHeight="1">
      <c r="A67" s="229" t="s">
        <v>20</v>
      </c>
      <c r="B67" s="238">
        <f>SUM(B65:B65)</f>
        <v>0</v>
      </c>
      <c r="C67" s="362"/>
      <c r="D67" s="220">
        <f>D66+D65</f>
        <v>0</v>
      </c>
      <c r="E67" s="221"/>
      <c r="F67" s="250">
        <f>F66</f>
        <v>0</v>
      </c>
      <c r="G67" s="240"/>
      <c r="H67" s="159">
        <f>SUM(H65:H66)</f>
        <v>0</v>
      </c>
      <c r="I67" s="231"/>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14" s="245" customFormat="1" ht="21" customHeight="1">
      <c r="A68" s="376" t="s">
        <v>56</v>
      </c>
      <c r="B68" s="359"/>
      <c r="C68" s="361"/>
      <c r="D68" s="214"/>
      <c r="E68" s="214"/>
      <c r="F68" s="250"/>
      <c r="G68" s="240"/>
      <c r="H68" s="207"/>
      <c r="I68" s="207"/>
      <c r="J68" s="242"/>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row>
    <row r="69" spans="1:10" ht="26.25" customHeight="1">
      <c r="A69" s="377"/>
      <c r="B69" s="360"/>
      <c r="C69" s="375"/>
      <c r="D69" s="261"/>
      <c r="E69" s="261"/>
      <c r="F69" s="152"/>
      <c r="G69" s="230"/>
      <c r="H69" s="231"/>
      <c r="I69" s="231"/>
      <c r="J69" s="242"/>
    </row>
    <row r="70" spans="1:114" s="245" customFormat="1" ht="30.75" customHeight="1">
      <c r="A70" s="229" t="s">
        <v>20</v>
      </c>
      <c r="B70" s="238">
        <f>SUM(B68:B68)</f>
        <v>0</v>
      </c>
      <c r="C70" s="362"/>
      <c r="D70" s="220">
        <f>D69+D68</f>
        <v>0</v>
      </c>
      <c r="E70" s="221"/>
      <c r="F70" s="250">
        <f>F69</f>
        <v>0</v>
      </c>
      <c r="G70" s="240"/>
      <c r="H70" s="231">
        <f>SUM(H68:H69)</f>
        <v>0</v>
      </c>
      <c r="I70" s="231"/>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22.5" customHeight="1">
      <c r="A71" s="365" t="s">
        <v>329</v>
      </c>
      <c r="B71" s="369"/>
      <c r="C71" s="387"/>
      <c r="D71" s="262"/>
      <c r="E71" s="276"/>
      <c r="F71" s="383"/>
      <c r="G71" s="376"/>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4" customHeight="1">
      <c r="A72" s="365"/>
      <c r="B72" s="369"/>
      <c r="C72" s="389"/>
      <c r="D72" s="261"/>
      <c r="E72" s="276"/>
      <c r="F72" s="385"/>
      <c r="G72" s="377"/>
      <c r="H72" s="162"/>
      <c r="I72" s="213"/>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7.75" customHeight="1">
      <c r="A73" s="229" t="s">
        <v>20</v>
      </c>
      <c r="B73" s="238">
        <f>B71</f>
        <v>0</v>
      </c>
      <c r="C73" s="146"/>
      <c r="D73" s="220">
        <f>SUM(D71:D72)</f>
        <v>0</v>
      </c>
      <c r="E73" s="221"/>
      <c r="F73" s="250">
        <f>F71</f>
        <v>0</v>
      </c>
      <c r="G73" s="240"/>
      <c r="H73" s="159">
        <f>SUM(H71:H72)</f>
        <v>0</v>
      </c>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4" customHeight="1">
      <c r="A74" s="366" t="s">
        <v>38</v>
      </c>
      <c r="B74" s="359"/>
      <c r="C74" s="233"/>
      <c r="D74" s="214"/>
      <c r="E74" s="214"/>
      <c r="F74" s="383"/>
      <c r="G74" s="376"/>
      <c r="H74" s="159"/>
      <c r="I74" s="231"/>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114" s="245" customFormat="1" ht="21.75" customHeight="1">
      <c r="A75" s="372"/>
      <c r="B75" s="373"/>
      <c r="C75" s="418"/>
      <c r="D75" s="261"/>
      <c r="E75" s="276"/>
      <c r="F75" s="384"/>
      <c r="G75" s="386"/>
      <c r="H75" s="207"/>
      <c r="I75" s="207"/>
      <c r="J75" s="242"/>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row>
    <row r="76" spans="1:9" ht="2.25" customHeight="1" hidden="1">
      <c r="A76" s="367"/>
      <c r="B76" s="360"/>
      <c r="C76" s="419"/>
      <c r="D76" s="261"/>
      <c r="E76" s="287"/>
      <c r="F76" s="385"/>
      <c r="G76" s="377"/>
      <c r="H76" s="259"/>
      <c r="I76" s="207"/>
    </row>
    <row r="77" spans="1:114" s="245" customFormat="1" ht="19.5" customHeight="1">
      <c r="A77" s="229" t="s">
        <v>20</v>
      </c>
      <c r="B77" s="238">
        <f>SUM(B74:B74)</f>
        <v>0</v>
      </c>
      <c r="C77" s="146"/>
      <c r="D77" s="220">
        <f>SUM(D74:D76)</f>
        <v>0</v>
      </c>
      <c r="E77" s="288"/>
      <c r="F77" s="250">
        <f>F74</f>
        <v>0</v>
      </c>
      <c r="G77" s="240"/>
      <c r="H77" s="158">
        <f>SUM(H75:H76)</f>
        <v>0</v>
      </c>
      <c r="I77" s="231"/>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4" customHeight="1">
      <c r="A78" s="366" t="s">
        <v>322</v>
      </c>
      <c r="B78" s="359"/>
      <c r="C78" s="387"/>
      <c r="D78" s="287"/>
      <c r="E78" s="214"/>
      <c r="F78" s="383"/>
      <c r="G78" s="376"/>
      <c r="H78" s="158"/>
      <c r="I78" s="231"/>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1.75" customHeight="1">
      <c r="A79" s="367"/>
      <c r="B79" s="360"/>
      <c r="C79" s="389"/>
      <c r="D79" s="261"/>
      <c r="E79" s="287"/>
      <c r="F79" s="385"/>
      <c r="G79" s="377"/>
      <c r="H79" s="260"/>
      <c r="I79" s="260"/>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26.25" customHeight="1">
      <c r="A80" s="229" t="s">
        <v>20</v>
      </c>
      <c r="B80" s="238">
        <f>SUM(B78:B79)</f>
        <v>0</v>
      </c>
      <c r="C80" s="147"/>
      <c r="D80" s="221">
        <f>SUM(D78:D79)</f>
        <v>0</v>
      </c>
      <c r="E80" s="221"/>
      <c r="F80" s="160">
        <f>F78</f>
        <v>0</v>
      </c>
      <c r="G80" s="240"/>
      <c r="H80" s="158">
        <f>SUM(H78:H79)</f>
        <v>0</v>
      </c>
      <c r="I80" s="231"/>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19.5" customHeight="1">
      <c r="A81" s="366" t="s">
        <v>321</v>
      </c>
      <c r="B81" s="390"/>
      <c r="C81" s="409"/>
      <c r="D81" s="287"/>
      <c r="E81" s="214"/>
      <c r="F81" s="393"/>
      <c r="G81" s="376"/>
      <c r="H81" s="259"/>
      <c r="I81" s="207"/>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7.25" customHeight="1">
      <c r="A82" s="372"/>
      <c r="B82" s="391"/>
      <c r="C82" s="410"/>
      <c r="D82" s="262"/>
      <c r="E82" s="276"/>
      <c r="F82" s="394"/>
      <c r="G82" s="386"/>
      <c r="H82" s="259"/>
      <c r="I82" s="207"/>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16.5" customHeight="1">
      <c r="A83" s="367"/>
      <c r="B83" s="392"/>
      <c r="C83" s="215"/>
      <c r="D83" s="261"/>
      <c r="E83" s="262"/>
      <c r="F83" s="395"/>
      <c r="G83" s="377"/>
      <c r="H83" s="158"/>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114" s="245" customFormat="1" ht="24" customHeight="1">
      <c r="A84" s="229" t="s">
        <v>20</v>
      </c>
      <c r="B84" s="238">
        <f>SUM(B81:B83)</f>
        <v>0</v>
      </c>
      <c r="C84" s="147"/>
      <c r="D84" s="220">
        <f>D83+D81+D82</f>
        <v>0</v>
      </c>
      <c r="E84" s="221"/>
      <c r="F84" s="160">
        <f>F81</f>
        <v>0</v>
      </c>
      <c r="G84" s="240"/>
      <c r="H84" s="158">
        <f>SUM(H81:H83)</f>
        <v>0</v>
      </c>
      <c r="I84" s="231"/>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row>
    <row r="85" spans="1:9" ht="15" customHeight="1">
      <c r="A85" s="366" t="s">
        <v>29</v>
      </c>
      <c r="B85" s="359"/>
      <c r="C85" s="370"/>
      <c r="D85" s="262"/>
      <c r="E85" s="261"/>
      <c r="F85" s="396"/>
      <c r="G85" s="376"/>
      <c r="H85" s="152"/>
      <c r="I85" s="207"/>
    </row>
    <row r="86" spans="1:9" ht="24" customHeight="1">
      <c r="A86" s="367"/>
      <c r="B86" s="360"/>
      <c r="C86" s="370"/>
      <c r="D86" s="286"/>
      <c r="E86" s="214"/>
      <c r="F86" s="398"/>
      <c r="G86" s="377"/>
      <c r="H86" s="152"/>
      <c r="I86" s="207"/>
    </row>
    <row r="87" spans="1:114" s="245" customFormat="1" ht="22.5" customHeight="1">
      <c r="A87" s="229" t="s">
        <v>20</v>
      </c>
      <c r="B87" s="252">
        <f>SUM(B85:B85)</f>
        <v>0</v>
      </c>
      <c r="C87" s="370"/>
      <c r="D87" s="220">
        <f>D86+D85</f>
        <v>0</v>
      </c>
      <c r="E87" s="221"/>
      <c r="F87" s="160">
        <f>F85</f>
        <v>0</v>
      </c>
      <c r="G87" s="240"/>
      <c r="H87" s="250">
        <f>H85</f>
        <v>0</v>
      </c>
      <c r="I87" s="231"/>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174.75" customHeight="1" hidden="1">
      <c r="A88" s="229" t="s">
        <v>20</v>
      </c>
      <c r="B88" s="238">
        <f>SUM(B85:B87)</f>
        <v>0</v>
      </c>
      <c r="C88" s="146"/>
      <c r="D88" s="221"/>
      <c r="E88" s="220"/>
      <c r="F88" s="159"/>
      <c r="G88" s="240"/>
      <c r="H88" s="158"/>
      <c r="I88" s="158"/>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114" s="245" customFormat="1" ht="16.5" customHeight="1" hidden="1">
      <c r="A89" s="263" t="s">
        <v>37</v>
      </c>
      <c r="B89" s="264">
        <v>10999</v>
      </c>
      <c r="C89" s="215" t="s">
        <v>52</v>
      </c>
      <c r="D89" s="221"/>
      <c r="E89" s="220"/>
      <c r="F89" s="159"/>
      <c r="G89" s="240"/>
      <c r="H89" s="158"/>
      <c r="I89" s="158"/>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row>
    <row r="90" spans="1:9" ht="17.25" customHeight="1" hidden="1">
      <c r="A90" s="263" t="s">
        <v>37</v>
      </c>
      <c r="B90" s="264">
        <v>1219</v>
      </c>
      <c r="C90" s="215" t="s">
        <v>43</v>
      </c>
      <c r="D90" s="262"/>
      <c r="E90" s="220"/>
      <c r="F90" s="162"/>
      <c r="G90" s="230"/>
      <c r="H90" s="259"/>
      <c r="I90" s="207"/>
    </row>
    <row r="91" spans="1:114" s="245" customFormat="1" ht="16.5" customHeight="1" hidden="1">
      <c r="A91" s="229" t="s">
        <v>20</v>
      </c>
      <c r="B91" s="238">
        <f>SUM(B89:B90)</f>
        <v>12218</v>
      </c>
      <c r="C91" s="146"/>
      <c r="D91" s="221"/>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16.5" customHeight="1" hidden="1">
      <c r="A92" s="263" t="s">
        <v>30</v>
      </c>
      <c r="B92" s="261">
        <v>3133</v>
      </c>
      <c r="C92" s="215" t="s">
        <v>44</v>
      </c>
      <c r="D92" s="262"/>
      <c r="E92" s="220"/>
      <c r="F92" s="159"/>
      <c r="G92" s="240"/>
      <c r="H92" s="158"/>
      <c r="I92" s="158"/>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18.75" customHeight="1" hidden="1">
      <c r="A93" s="263" t="s">
        <v>30</v>
      </c>
      <c r="B93" s="261">
        <v>120</v>
      </c>
      <c r="C93" s="215" t="s">
        <v>36</v>
      </c>
      <c r="D93" s="262"/>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8.75" customHeight="1" hidden="1">
      <c r="A94" s="263" t="s">
        <v>30</v>
      </c>
      <c r="B94" s="261">
        <v>210</v>
      </c>
      <c r="C94" s="215" t="s">
        <v>36</v>
      </c>
      <c r="D94" s="262"/>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6.5" customHeight="1" hidden="1">
      <c r="A95" s="229" t="s">
        <v>20</v>
      </c>
      <c r="B95" s="220">
        <f>SUM(B92:B94)</f>
        <v>3463</v>
      </c>
      <c r="C95" s="146"/>
      <c r="D95" s="221"/>
      <c r="E95" s="220"/>
      <c r="F95" s="159"/>
      <c r="G95" s="240"/>
      <c r="H95" s="158"/>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7.25" customHeight="1" hidden="1">
      <c r="A96" s="263" t="s">
        <v>31</v>
      </c>
      <c r="B96" s="265">
        <v>60</v>
      </c>
      <c r="C96" s="215" t="s">
        <v>48</v>
      </c>
      <c r="D96" s="265">
        <v>149639.87</v>
      </c>
      <c r="E96" s="289" t="s">
        <v>47</v>
      </c>
      <c r="F96" s="156"/>
      <c r="G96" s="240"/>
      <c r="H96" s="263"/>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114" s="245" customFormat="1" ht="17.25" customHeight="1" hidden="1">
      <c r="A97" s="263" t="s">
        <v>31</v>
      </c>
      <c r="B97" s="265">
        <v>3951.33</v>
      </c>
      <c r="C97" s="215" t="s">
        <v>51</v>
      </c>
      <c r="D97" s="265"/>
      <c r="E97" s="289"/>
      <c r="F97" s="156"/>
      <c r="G97" s="240"/>
      <c r="H97" s="263"/>
      <c r="I97" s="158"/>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row>
    <row r="98" spans="1:9" ht="21.75" customHeight="1">
      <c r="A98" s="366" t="s">
        <v>37</v>
      </c>
      <c r="B98" s="359"/>
      <c r="C98" s="361"/>
      <c r="D98" s="262"/>
      <c r="E98" s="261"/>
      <c r="F98" s="396"/>
      <c r="G98" s="376"/>
      <c r="H98" s="259"/>
      <c r="I98" s="207"/>
    </row>
    <row r="99" spans="1:9" ht="23.25" customHeight="1">
      <c r="A99" s="367"/>
      <c r="B99" s="360"/>
      <c r="C99" s="375"/>
      <c r="D99" s="262"/>
      <c r="E99" s="276"/>
      <c r="F99" s="398"/>
      <c r="G99" s="377"/>
      <c r="H99" s="162"/>
      <c r="I99" s="213"/>
    </row>
    <row r="100" spans="1:114" s="245" customFormat="1" ht="25.5" customHeight="1">
      <c r="A100" s="229" t="s">
        <v>20</v>
      </c>
      <c r="B100" s="252">
        <f>SUM(B98:B98)</f>
        <v>0</v>
      </c>
      <c r="C100" s="362"/>
      <c r="D100" s="220">
        <f>SUM(D98:D99)</f>
        <v>0</v>
      </c>
      <c r="E100" s="221"/>
      <c r="F100" s="160">
        <f>F98</f>
        <v>0</v>
      </c>
      <c r="G100" s="240"/>
      <c r="H100" s="158">
        <f>SUM(H98:H99)</f>
        <v>0</v>
      </c>
      <c r="I100" s="231"/>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114" s="245" customFormat="1" ht="24.75" customHeight="1">
      <c r="A101" s="366" t="s">
        <v>30</v>
      </c>
      <c r="B101" s="359"/>
      <c r="C101" s="234"/>
      <c r="D101" s="287"/>
      <c r="E101" s="214"/>
      <c r="F101" s="396"/>
      <c r="G101" s="376"/>
      <c r="H101" s="259"/>
      <c r="I101" s="207"/>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row>
    <row r="102" spans="1:9" ht="16.5" customHeight="1">
      <c r="A102" s="367"/>
      <c r="B102" s="360"/>
      <c r="C102" s="215"/>
      <c r="D102" s="262"/>
      <c r="E102" s="261"/>
      <c r="F102" s="398"/>
      <c r="G102" s="377"/>
      <c r="H102" s="262"/>
      <c r="I102" s="299"/>
    </row>
    <row r="103" spans="1:114" s="245" customFormat="1" ht="25.5" customHeight="1">
      <c r="A103" s="229" t="s">
        <v>20</v>
      </c>
      <c r="B103" s="238">
        <f>SUM(B101:B101)</f>
        <v>0</v>
      </c>
      <c r="C103" s="147"/>
      <c r="D103" s="220">
        <f>D102+D101</f>
        <v>0</v>
      </c>
      <c r="E103" s="221"/>
      <c r="F103" s="160">
        <f>F101</f>
        <v>0</v>
      </c>
      <c r="G103" s="240"/>
      <c r="H103" s="158">
        <f>SUM(H101:H102)</f>
        <v>0</v>
      </c>
      <c r="I103" s="231"/>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114" s="245" customFormat="1" ht="27" customHeight="1">
      <c r="A104" s="366" t="s">
        <v>57</v>
      </c>
      <c r="B104" s="359"/>
      <c r="C104" s="409"/>
      <c r="D104" s="287"/>
      <c r="E104" s="214"/>
      <c r="F104" s="396"/>
      <c r="G104" s="376"/>
      <c r="H104" s="259"/>
      <c r="I104" s="207"/>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row>
    <row r="105" spans="1:9" ht="25.5" customHeight="1">
      <c r="A105" s="367"/>
      <c r="B105" s="360"/>
      <c r="C105" s="410"/>
      <c r="D105" s="262"/>
      <c r="E105" s="261"/>
      <c r="F105" s="398"/>
      <c r="G105" s="377"/>
      <c r="H105" s="259"/>
      <c r="I105" s="207"/>
    </row>
    <row r="106" spans="1:114" s="245" customFormat="1" ht="21" customHeight="1">
      <c r="A106" s="229" t="s">
        <v>20</v>
      </c>
      <c r="B106" s="238">
        <f>SUM(B104:B105)</f>
        <v>0</v>
      </c>
      <c r="C106" s="147"/>
      <c r="D106" s="220">
        <f>D105+D104</f>
        <v>0</v>
      </c>
      <c r="E106" s="221"/>
      <c r="F106" s="160">
        <f>F104</f>
        <v>0</v>
      </c>
      <c r="G106" s="240"/>
      <c r="H106" s="158">
        <f>SUM(H104:H105)</f>
        <v>0</v>
      </c>
      <c r="I106" s="231"/>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114" s="245" customFormat="1" ht="0.75" customHeight="1" hidden="1">
      <c r="A107" s="365" t="s">
        <v>31</v>
      </c>
      <c r="B107" s="369">
        <f>110.7</f>
        <v>110.7</v>
      </c>
      <c r="C107" s="215"/>
      <c r="D107" s="261"/>
      <c r="E107" s="290"/>
      <c r="F107" s="396"/>
      <c r="G107" s="376"/>
      <c r="H107" s="158"/>
      <c r="I107" s="231"/>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row>
    <row r="108" spans="1:114" s="245" customFormat="1" ht="21.75" customHeight="1">
      <c r="A108" s="365"/>
      <c r="B108" s="369"/>
      <c r="C108" s="366" t="s">
        <v>348</v>
      </c>
      <c r="D108" s="261"/>
      <c r="E108" s="276"/>
      <c r="F108" s="397"/>
      <c r="G108" s="386"/>
      <c r="H108" s="156"/>
      <c r="I108" s="213"/>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row>
    <row r="109" spans="1:9" ht="17.25" customHeight="1">
      <c r="A109" s="365"/>
      <c r="B109" s="369"/>
      <c r="C109" s="367"/>
      <c r="D109" s="261"/>
      <c r="E109" s="261"/>
      <c r="F109" s="398"/>
      <c r="G109" s="377"/>
      <c r="H109" s="156"/>
      <c r="I109" s="213"/>
    </row>
    <row r="110" spans="1:114" s="245" customFormat="1" ht="24" customHeight="1">
      <c r="A110" s="229" t="s">
        <v>20</v>
      </c>
      <c r="B110" s="252">
        <f>SUM(B107:B107)</f>
        <v>110.7</v>
      </c>
      <c r="C110" s="215"/>
      <c r="D110" s="220">
        <f>D109+D107+D108</f>
        <v>0</v>
      </c>
      <c r="E110" s="262"/>
      <c r="F110" s="160">
        <f>F107</f>
        <v>0</v>
      </c>
      <c r="G110" s="240"/>
      <c r="H110" s="250">
        <f>SUM(H107:H109)</f>
        <v>0</v>
      </c>
      <c r="I110" s="231"/>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26.25" customHeight="1">
      <c r="A111" s="365" t="s">
        <v>58</v>
      </c>
      <c r="B111" s="359"/>
      <c r="C111" s="361"/>
      <c r="D111" s="261"/>
      <c r="E111" s="262"/>
      <c r="F111" s="393"/>
      <c r="G111" s="376"/>
      <c r="H111" s="259"/>
      <c r="I111" s="207"/>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5.75" customHeight="1">
      <c r="A112" s="365"/>
      <c r="B112" s="360"/>
      <c r="C112" s="362"/>
      <c r="D112" s="287"/>
      <c r="E112" s="214"/>
      <c r="F112" s="395"/>
      <c r="G112" s="377"/>
      <c r="H112" s="263"/>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114" s="245" customFormat="1" ht="19.5" customHeight="1">
      <c r="A113" s="229" t="s">
        <v>20</v>
      </c>
      <c r="B113" s="266">
        <f>B111</f>
        <v>0</v>
      </c>
      <c r="C113" s="146"/>
      <c r="D113" s="266">
        <f>SUM(D111:D112)</f>
        <v>0</v>
      </c>
      <c r="E113" s="220"/>
      <c r="F113" s="159">
        <f>F111</f>
        <v>0</v>
      </c>
      <c r="G113" s="240"/>
      <c r="H113" s="158">
        <f>SUM(H111:H112)</f>
        <v>0</v>
      </c>
      <c r="I113" s="158"/>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22.5" customHeight="1">
      <c r="A114" s="366" t="s">
        <v>320</v>
      </c>
      <c r="B114" s="402"/>
      <c r="C114" s="218"/>
      <c r="D114" s="265"/>
      <c r="E114" s="262"/>
      <c r="F114" s="393"/>
      <c r="G114" s="376"/>
      <c r="H114" s="158"/>
      <c r="I114" s="158"/>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17.25" customHeight="1">
      <c r="A115" s="372"/>
      <c r="B115" s="403"/>
      <c r="C115" s="361"/>
      <c r="D115" s="291"/>
      <c r="E115" s="214"/>
      <c r="F115" s="394"/>
      <c r="G115" s="386"/>
      <c r="H115" s="263"/>
      <c r="I115" s="207"/>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14.25" customHeight="1">
      <c r="A116" s="372"/>
      <c r="B116" s="403"/>
      <c r="C116" s="362"/>
      <c r="D116" s="261"/>
      <c r="E116" s="276"/>
      <c r="F116" s="395"/>
      <c r="G116" s="377"/>
      <c r="H116" s="263"/>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21" customHeight="1">
      <c r="A117" s="229" t="s">
        <v>20</v>
      </c>
      <c r="B117" s="266">
        <f>SUM(B114)</f>
        <v>0</v>
      </c>
      <c r="C117" s="146"/>
      <c r="D117" s="266">
        <f>SUM(D114:D116)</f>
        <v>0</v>
      </c>
      <c r="E117" s="220"/>
      <c r="F117" s="159">
        <f>F114</f>
        <v>0</v>
      </c>
      <c r="G117" s="240"/>
      <c r="H117" s="158">
        <f>SUM(H114:H116)</f>
        <v>0</v>
      </c>
      <c r="I117" s="158"/>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22.5" customHeight="1">
      <c r="A118" s="365" t="s">
        <v>328</v>
      </c>
      <c r="B118" s="402"/>
      <c r="C118" s="215" t="s">
        <v>339</v>
      </c>
      <c r="D118" s="261">
        <v>2</v>
      </c>
      <c r="E118" s="411" t="s">
        <v>332</v>
      </c>
      <c r="F118" s="393"/>
      <c r="G118" s="376"/>
      <c r="H118" s="261"/>
      <c r="I118" s="299"/>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7.25" customHeight="1">
      <c r="A119" s="365"/>
      <c r="B119" s="404"/>
      <c r="C119" s="215"/>
      <c r="D119" s="287"/>
      <c r="E119" s="417"/>
      <c r="F119" s="395"/>
      <c r="G119" s="377"/>
      <c r="H119" s="158"/>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19.5" customHeight="1">
      <c r="A120" s="229" t="s">
        <v>20</v>
      </c>
      <c r="B120" s="220">
        <f>SUM(B118)</f>
        <v>0</v>
      </c>
      <c r="C120" s="146"/>
      <c r="D120" s="221">
        <f>SUM(D118:D119)</f>
        <v>2</v>
      </c>
      <c r="E120" s="412"/>
      <c r="F120" s="159">
        <f>F118</f>
        <v>0</v>
      </c>
      <c r="G120" s="240"/>
      <c r="H120" s="158">
        <f>SUM(H118:H119)</f>
        <v>0</v>
      </c>
      <c r="I120" s="158"/>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21" customHeight="1">
      <c r="A121" s="366" t="s">
        <v>59</v>
      </c>
      <c r="B121" s="402"/>
      <c r="C121" s="218"/>
      <c r="D121" s="261"/>
      <c r="E121" s="292"/>
      <c r="F121" s="393"/>
      <c r="G121" s="376"/>
      <c r="H121" s="259"/>
      <c r="I121" s="207"/>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15" customHeight="1">
      <c r="A122" s="367"/>
      <c r="B122" s="404"/>
      <c r="C122" s="215"/>
      <c r="D122" s="287"/>
      <c r="E122" s="214"/>
      <c r="F122" s="395"/>
      <c r="G122" s="377"/>
      <c r="H122" s="158"/>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19.5" customHeight="1">
      <c r="A123" s="229" t="s">
        <v>20</v>
      </c>
      <c r="B123" s="220">
        <f>B121</f>
        <v>0</v>
      </c>
      <c r="C123" s="146"/>
      <c r="D123" s="221">
        <f>D121+D122</f>
        <v>0</v>
      </c>
      <c r="E123" s="261"/>
      <c r="F123" s="159">
        <f>F121</f>
        <v>0</v>
      </c>
      <c r="G123" s="240"/>
      <c r="H123" s="158">
        <f>SUM(H121:H122)</f>
        <v>0</v>
      </c>
      <c r="I123" s="158"/>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24" customHeight="1">
      <c r="A124" s="366" t="s">
        <v>323</v>
      </c>
      <c r="B124" s="402"/>
      <c r="C124" s="387"/>
      <c r="D124" s="262"/>
      <c r="E124" s="280"/>
      <c r="F124" s="393"/>
      <c r="G124" s="405"/>
      <c r="H124" s="259"/>
      <c r="I124" s="207"/>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16.5" customHeight="1">
      <c r="A125" s="367"/>
      <c r="B125" s="404"/>
      <c r="C125" s="389"/>
      <c r="D125" s="287"/>
      <c r="E125" s="214"/>
      <c r="F125" s="395"/>
      <c r="G125" s="406"/>
      <c r="H125" s="158"/>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21.75" customHeight="1">
      <c r="A126" s="229" t="s">
        <v>20</v>
      </c>
      <c r="B126" s="220">
        <f>B124</f>
        <v>0</v>
      </c>
      <c r="C126" s="146"/>
      <c r="D126" s="221">
        <f>D125+D124</f>
        <v>0</v>
      </c>
      <c r="E126" s="261"/>
      <c r="F126" s="159">
        <f>F124</f>
        <v>0</v>
      </c>
      <c r="G126" s="240"/>
      <c r="H126" s="158">
        <f>SUM(H124:H125)</f>
        <v>0</v>
      </c>
      <c r="I126" s="158"/>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8.75" customHeight="1">
      <c r="A127" s="366" t="s">
        <v>60</v>
      </c>
      <c r="B127" s="402"/>
      <c r="C127" s="219"/>
      <c r="D127" s="287"/>
      <c r="E127" s="214"/>
      <c r="F127" s="393"/>
      <c r="G127" s="376"/>
      <c r="H127" s="261"/>
      <c r="I127" s="299"/>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15.75">
      <c r="A128" s="367"/>
      <c r="B128" s="404"/>
      <c r="C128" s="215"/>
      <c r="D128" s="261"/>
      <c r="E128" s="261"/>
      <c r="F128" s="395"/>
      <c r="G128" s="377"/>
      <c r="H128" s="158"/>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0.25" customHeight="1">
      <c r="A129" s="229" t="s">
        <v>20</v>
      </c>
      <c r="B129" s="220">
        <f>SUM(B127)</f>
        <v>0</v>
      </c>
      <c r="C129" s="146"/>
      <c r="D129" s="221">
        <f>D128+D127</f>
        <v>0</v>
      </c>
      <c r="E129" s="261"/>
      <c r="F129" s="159">
        <f>F127</f>
        <v>0</v>
      </c>
      <c r="G129" s="240"/>
      <c r="H129" s="158">
        <f>SUM(H127:H128)</f>
        <v>0</v>
      </c>
      <c r="I129" s="158"/>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20.25" customHeight="1">
      <c r="A130" s="366" t="s">
        <v>61</v>
      </c>
      <c r="B130" s="402"/>
      <c r="C130" s="387"/>
      <c r="D130" s="287"/>
      <c r="E130" s="214"/>
      <c r="F130" s="393"/>
      <c r="G130" s="376"/>
      <c r="H130" s="259"/>
      <c r="I130" s="207"/>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0.75" customHeight="1" hidden="1">
      <c r="A131" s="372"/>
      <c r="B131" s="403"/>
      <c r="C131" s="389"/>
      <c r="D131" s="293"/>
      <c r="E131" s="293"/>
      <c r="F131" s="394"/>
      <c r="G131" s="386"/>
      <c r="H131" s="158"/>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20.25" customHeight="1">
      <c r="A132" s="367"/>
      <c r="B132" s="404"/>
      <c r="C132" s="215"/>
      <c r="D132" s="261"/>
      <c r="E132" s="280"/>
      <c r="F132" s="395"/>
      <c r="G132" s="377"/>
      <c r="H132" s="158"/>
      <c r="I132" s="158"/>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19.5" customHeight="1">
      <c r="A133" s="229" t="s">
        <v>20</v>
      </c>
      <c r="B133" s="220">
        <f>SUM(B130)</f>
        <v>0</v>
      </c>
      <c r="C133" s="146"/>
      <c r="D133" s="221">
        <f>SUM(D130:D132)</f>
        <v>0</v>
      </c>
      <c r="E133" s="261"/>
      <c r="F133" s="159">
        <f>F130</f>
        <v>0</v>
      </c>
      <c r="G133" s="240"/>
      <c r="H133" s="158">
        <f>SUM(H130:H132)</f>
        <v>0</v>
      </c>
      <c r="I133" s="158"/>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25.5" customHeight="1">
      <c r="A134" s="365" t="s">
        <v>62</v>
      </c>
      <c r="B134" s="408"/>
      <c r="C134" s="217"/>
      <c r="D134" s="287">
        <v>3629.28</v>
      </c>
      <c r="E134" s="411" t="s">
        <v>341</v>
      </c>
      <c r="F134" s="393"/>
      <c r="G134" s="376"/>
      <c r="H134" s="259"/>
      <c r="I134" s="207"/>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19.5" customHeight="1">
      <c r="A135" s="365"/>
      <c r="B135" s="408"/>
      <c r="C135" s="215"/>
      <c r="D135" s="261"/>
      <c r="E135" s="417"/>
      <c r="F135" s="395"/>
      <c r="G135" s="377"/>
      <c r="H135" s="158"/>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21" customHeight="1">
      <c r="A136" s="229" t="s">
        <v>20</v>
      </c>
      <c r="B136" s="220">
        <f>SUM(B134)</f>
        <v>0</v>
      </c>
      <c r="C136" s="146"/>
      <c r="D136" s="221">
        <f>SUM(D134:D135)</f>
        <v>3629.28</v>
      </c>
      <c r="E136" s="412"/>
      <c r="F136" s="159">
        <f>F134</f>
        <v>0</v>
      </c>
      <c r="G136" s="240"/>
      <c r="H136" s="158">
        <f>SUM(H134:H135)</f>
        <v>0</v>
      </c>
      <c r="I136" s="158"/>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27.75" customHeight="1">
      <c r="A137" s="366" t="s">
        <v>46</v>
      </c>
      <c r="B137" s="402"/>
      <c r="C137" s="218"/>
      <c r="D137" s="261"/>
      <c r="E137" s="280"/>
      <c r="F137" s="393"/>
      <c r="G137" s="376"/>
      <c r="H137" s="259"/>
      <c r="I137" s="207"/>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8" customHeight="1">
      <c r="A138" s="367"/>
      <c r="B138" s="404"/>
      <c r="C138" s="302"/>
      <c r="D138" s="261"/>
      <c r="E138" s="262"/>
      <c r="F138" s="395"/>
      <c r="G138" s="377"/>
      <c r="H138" s="158"/>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18.75" customHeight="1">
      <c r="A139" s="229" t="s">
        <v>20</v>
      </c>
      <c r="B139" s="220">
        <f>B137</f>
        <v>0</v>
      </c>
      <c r="C139" s="146"/>
      <c r="D139" s="221">
        <f>D138+D137</f>
        <v>0</v>
      </c>
      <c r="E139" s="220"/>
      <c r="F139" s="159">
        <f>F137</f>
        <v>0</v>
      </c>
      <c r="G139" s="240"/>
      <c r="H139" s="158">
        <f>SUM(H137:H138)</f>
        <v>0</v>
      </c>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22.5" customHeight="1">
      <c r="A140" s="366" t="s">
        <v>63</v>
      </c>
      <c r="B140" s="402">
        <v>6799</v>
      </c>
      <c r="C140" s="215" t="s">
        <v>340</v>
      </c>
      <c r="D140" s="261">
        <v>1</v>
      </c>
      <c r="E140" s="411" t="s">
        <v>332</v>
      </c>
      <c r="F140" s="393"/>
      <c r="G140" s="376"/>
      <c r="H140" s="158"/>
      <c r="I140" s="158"/>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18.75" customHeight="1">
      <c r="A141" s="367"/>
      <c r="B141" s="404"/>
      <c r="C141" s="215"/>
      <c r="D141" s="287"/>
      <c r="E141" s="417"/>
      <c r="F141" s="395"/>
      <c r="G141" s="377"/>
      <c r="H141" s="261"/>
      <c r="I141" s="301"/>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23.25" customHeight="1">
      <c r="A142" s="229" t="s">
        <v>20</v>
      </c>
      <c r="B142" s="220">
        <f>B140</f>
        <v>6799</v>
      </c>
      <c r="C142" s="146"/>
      <c r="D142" s="221">
        <f>D141+D140</f>
        <v>1</v>
      </c>
      <c r="E142" s="412"/>
      <c r="F142" s="159">
        <f>F140</f>
        <v>0</v>
      </c>
      <c r="G142" s="240"/>
      <c r="H142" s="158">
        <f>SUM(H140:H141)</f>
        <v>0</v>
      </c>
      <c r="I142" s="158"/>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24" customHeight="1">
      <c r="A143" s="228" t="s">
        <v>111</v>
      </c>
      <c r="B143" s="220"/>
      <c r="C143" s="146"/>
      <c r="D143" s="221"/>
      <c r="E143" s="220"/>
      <c r="F143" s="162"/>
      <c r="G143" s="240"/>
      <c r="H143" s="152"/>
      <c r="I143" s="207"/>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3.25" customHeight="1">
      <c r="A144" s="229" t="s">
        <v>20</v>
      </c>
      <c r="B144" s="220">
        <v>0</v>
      </c>
      <c r="C144" s="146"/>
      <c r="D144" s="221">
        <v>0</v>
      </c>
      <c r="E144" s="220"/>
      <c r="F144" s="159">
        <v>0</v>
      </c>
      <c r="G144" s="240"/>
      <c r="H144" s="250">
        <f>SUM(H143)</f>
        <v>0</v>
      </c>
      <c r="I144" s="158"/>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1.75" customHeight="1">
      <c r="A145" s="157" t="s">
        <v>272</v>
      </c>
      <c r="B145" s="261"/>
      <c r="C145" s="215"/>
      <c r="D145" s="287"/>
      <c r="E145" s="214"/>
      <c r="F145" s="156"/>
      <c r="G145" s="240"/>
      <c r="H145" s="259"/>
      <c r="I145" s="207"/>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24.75" customHeight="1">
      <c r="A146" s="229" t="s">
        <v>20</v>
      </c>
      <c r="B146" s="220">
        <f>B145</f>
        <v>0</v>
      </c>
      <c r="C146" s="146"/>
      <c r="D146" s="221">
        <f>D145</f>
        <v>0</v>
      </c>
      <c r="E146" s="220"/>
      <c r="F146" s="159"/>
      <c r="G146" s="240"/>
      <c r="H146" s="158">
        <f>H145</f>
        <v>0</v>
      </c>
      <c r="I146" s="158"/>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72" customHeight="1">
      <c r="A147" s="157" t="s">
        <v>54</v>
      </c>
      <c r="B147" s="261"/>
      <c r="C147" s="215" t="s">
        <v>331</v>
      </c>
      <c r="D147" s="287">
        <v>1</v>
      </c>
      <c r="E147" s="214" t="s">
        <v>332</v>
      </c>
      <c r="F147" s="156"/>
      <c r="G147" s="240"/>
      <c r="H147" s="259"/>
      <c r="I147" s="207"/>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20.25" customHeight="1">
      <c r="A148" s="229" t="s">
        <v>20</v>
      </c>
      <c r="B148" s="220">
        <f>B147</f>
        <v>0</v>
      </c>
      <c r="C148" s="146"/>
      <c r="D148" s="221">
        <f>D147</f>
        <v>1</v>
      </c>
      <c r="E148" s="220"/>
      <c r="F148" s="159"/>
      <c r="G148" s="240"/>
      <c r="H148" s="158">
        <f>H147</f>
        <v>0</v>
      </c>
      <c r="I148" s="158"/>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30.75" customHeight="1">
      <c r="A149" s="157" t="s">
        <v>66</v>
      </c>
      <c r="B149" s="261"/>
      <c r="C149" s="215"/>
      <c r="D149" s="287"/>
      <c r="E149" s="214"/>
      <c r="F149" s="156"/>
      <c r="G149" s="240"/>
      <c r="H149" s="259"/>
      <c r="I149" s="207"/>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23.25" customHeight="1">
      <c r="A150" s="229" t="s">
        <v>20</v>
      </c>
      <c r="B150" s="220">
        <f>B149</f>
        <v>0</v>
      </c>
      <c r="C150" s="146"/>
      <c r="D150" s="221">
        <f>D149</f>
        <v>0</v>
      </c>
      <c r="E150" s="220"/>
      <c r="F150" s="159"/>
      <c r="G150" s="240"/>
      <c r="H150" s="158">
        <f>H149</f>
        <v>0</v>
      </c>
      <c r="I150" s="158"/>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36" customHeight="1">
      <c r="A151" s="228" t="s">
        <v>319</v>
      </c>
      <c r="B151" s="220"/>
      <c r="C151" s="146"/>
      <c r="D151" s="287"/>
      <c r="E151" s="214"/>
      <c r="F151" s="159"/>
      <c r="G151" s="240"/>
      <c r="H151" s="259"/>
      <c r="I151" s="207"/>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29.25" customHeight="1">
      <c r="A152" s="229" t="s">
        <v>20</v>
      </c>
      <c r="B152" s="220">
        <f>B151</f>
        <v>0</v>
      </c>
      <c r="C152" s="146"/>
      <c r="D152" s="221">
        <f>D151</f>
        <v>0</v>
      </c>
      <c r="E152" s="220"/>
      <c r="F152" s="159"/>
      <c r="G152" s="240"/>
      <c r="H152" s="158">
        <f>H151</f>
        <v>0</v>
      </c>
      <c r="I152" s="158"/>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84" customHeight="1">
      <c r="A153" s="157" t="s">
        <v>317</v>
      </c>
      <c r="B153" s="261"/>
      <c r="C153" s="215" t="s">
        <v>334</v>
      </c>
      <c r="D153" s="286">
        <v>1600</v>
      </c>
      <c r="E153" s="214" t="s">
        <v>333</v>
      </c>
      <c r="F153" s="156"/>
      <c r="G153" s="240"/>
      <c r="H153" s="259"/>
      <c r="I153" s="207"/>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4.75" customHeight="1">
      <c r="A154" s="229" t="s">
        <v>20</v>
      </c>
      <c r="B154" s="220">
        <f>SUM(B153)</f>
        <v>0</v>
      </c>
      <c r="C154" s="146"/>
      <c r="D154" s="221">
        <f>D153</f>
        <v>1600</v>
      </c>
      <c r="E154" s="220"/>
      <c r="F154" s="159"/>
      <c r="G154" s="240"/>
      <c r="H154" s="158">
        <f>H153</f>
        <v>0</v>
      </c>
      <c r="I154" s="158"/>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27.75" customHeight="1">
      <c r="A155" s="157" t="s">
        <v>64</v>
      </c>
      <c r="B155" s="261">
        <v>2496</v>
      </c>
      <c r="C155" s="215" t="s">
        <v>342</v>
      </c>
      <c r="D155" s="287"/>
      <c r="E155" s="214"/>
      <c r="F155" s="156"/>
      <c r="G155" s="240"/>
      <c r="H155" s="259"/>
      <c r="I155" s="207"/>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23.25" customHeight="1">
      <c r="A156" s="229" t="s">
        <v>20</v>
      </c>
      <c r="B156" s="220">
        <f>B155</f>
        <v>2496</v>
      </c>
      <c r="C156" s="146"/>
      <c r="D156" s="221">
        <f>D155</f>
        <v>0</v>
      </c>
      <c r="E156" s="220"/>
      <c r="F156" s="159"/>
      <c r="G156" s="240"/>
      <c r="H156" s="158">
        <f>H155</f>
        <v>0</v>
      </c>
      <c r="I156" s="158"/>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24" customHeight="1">
      <c r="A157" s="366" t="s">
        <v>315</v>
      </c>
      <c r="B157" s="402"/>
      <c r="C157" s="361"/>
      <c r="D157" s="287"/>
      <c r="E157" s="214"/>
      <c r="F157" s="156"/>
      <c r="G157" s="240"/>
      <c r="H157" s="259"/>
      <c r="I157" s="207"/>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19.5" customHeight="1">
      <c r="A158" s="372"/>
      <c r="B158" s="403"/>
      <c r="C158" s="375"/>
      <c r="D158" s="261"/>
      <c r="E158" s="276"/>
      <c r="F158" s="156"/>
      <c r="G158" s="240"/>
      <c r="H158" s="158"/>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24" customHeight="1">
      <c r="A159" s="267" t="s">
        <v>20</v>
      </c>
      <c r="B159" s="220">
        <f>B157</f>
        <v>0</v>
      </c>
      <c r="C159" s="362"/>
      <c r="D159" s="220">
        <f>D157+D158</f>
        <v>0</v>
      </c>
      <c r="E159" s="289"/>
      <c r="F159" s="156"/>
      <c r="G159" s="240"/>
      <c r="H159" s="158">
        <f>H157+H158</f>
        <v>0</v>
      </c>
      <c r="I159" s="158"/>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30" customHeight="1">
      <c r="A160" s="157" t="s">
        <v>318</v>
      </c>
      <c r="B160" s="261"/>
      <c r="C160" s="215"/>
      <c r="D160" s="286"/>
      <c r="E160" s="214"/>
      <c r="F160" s="156"/>
      <c r="G160" s="240"/>
      <c r="H160" s="152"/>
      <c r="I160" s="207"/>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45" customFormat="1" ht="24.75" customHeight="1" thickBot="1">
      <c r="A161" s="229" t="s">
        <v>20</v>
      </c>
      <c r="B161" s="238">
        <f>B160</f>
        <v>0</v>
      </c>
      <c r="C161" s="146"/>
      <c r="D161" s="294">
        <f>D160</f>
        <v>0</v>
      </c>
      <c r="E161" s="220"/>
      <c r="F161" s="159"/>
      <c r="G161" s="240"/>
      <c r="H161" s="250">
        <f>H160</f>
        <v>0</v>
      </c>
      <c r="I161" s="158"/>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row>
    <row r="162" spans="1:114" s="269" customFormat="1" ht="69.75" customHeight="1" thickBot="1">
      <c r="A162" s="253" t="s">
        <v>324</v>
      </c>
      <c r="B162" s="220">
        <f>SUM(B152+B67+B70+B73+B77+B80+B84+B87+B100+B103+B106+B110+B113+B159+B117+B120+B123+B126+B129+B133+B136+B139+B142+B146+B148+B150+B154+B156+B161)</f>
        <v>9405.7</v>
      </c>
      <c r="C162" s="220"/>
      <c r="D162" s="220">
        <f>SUM(D152+D67+D70+D73+D77+D159+D80+D84+D87+D100+D103+D106+D110+D113+D117+D120+D123+D126+D129+D133+D136+D139+D142+D146+D148+D150+D154+D156+D161)</f>
        <v>5233.280000000001</v>
      </c>
      <c r="E162" s="220">
        <f>SUM(E152+E67+E70+E73+E77+E159+E80+E84+E87+E100+E103+E106+E110+E113+E117+E120+E123+E126+E129+E133+E136+E139+E142+E146+E148+E150+E154+E156+E161)</f>
        <v>0</v>
      </c>
      <c r="F162" s="220">
        <f>SUM(F152+F67+F70+F73+F77+F159+F80+F84+F87+F100+F103+F106+F110+F113+F117+F120+F123+F126+F129+F133+F136+F139+F142+F146+F148+F150+F154+F156+F161)</f>
        <v>0</v>
      </c>
      <c r="G162" s="220">
        <f>SUM(G152+G67+G70+G73+G77+G159+G80+G84+G87+G100+G103+G106+G110+G113+G117+G120+G123+G126+G129+G133+G136+G139+G142+G146+G148+G150+G154+G156+G161)</f>
        <v>0</v>
      </c>
      <c r="H162" s="220">
        <f>SUM(H152+H67+H70+H73+H77+H159+H80+H84+H87+H100+H103+H106+H110+H113+H117+H120+H123+H126+H129+H133+H136+H139+H142+H146+H148+H150+H154+H156+H161)+H144</f>
        <v>0</v>
      </c>
      <c r="I162" s="220">
        <f>SUM(I152+I67+I70+I73+I77+I159+I80+I84+I87+I100+I103+I106+I110+I113+I117+I120+I123+I126+I129+I133+I136+I139+I142+I146+I148+I150+I154+I156+I161)</f>
        <v>0</v>
      </c>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row>
    <row r="163" spans="1:114" s="269" customFormat="1" ht="79.5" customHeight="1" thickBot="1">
      <c r="A163" s="229" t="s">
        <v>325</v>
      </c>
      <c r="B163" s="221">
        <f>SUM(B64+B162)</f>
        <v>104175.43999999999</v>
      </c>
      <c r="C163" s="221"/>
      <c r="D163" s="221">
        <f aca="true" t="shared" si="0" ref="D163:I163">D162+D64</f>
        <v>5233.280000000001</v>
      </c>
      <c r="E163" s="221">
        <f t="shared" si="0"/>
        <v>0</v>
      </c>
      <c r="F163" s="221">
        <f t="shared" si="0"/>
        <v>0</v>
      </c>
      <c r="G163" s="221">
        <f t="shared" si="0"/>
        <v>0</v>
      </c>
      <c r="H163" s="221">
        <f t="shared" si="0"/>
        <v>0</v>
      </c>
      <c r="I163" s="221">
        <f t="shared" si="0"/>
        <v>0</v>
      </c>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c r="CO163" s="268"/>
      <c r="CP163" s="268"/>
      <c r="CQ163" s="268"/>
      <c r="CR163" s="268"/>
      <c r="CS163" s="268"/>
      <c r="CT163" s="268"/>
      <c r="CU163" s="268"/>
      <c r="CV163" s="268"/>
      <c r="CW163" s="268"/>
      <c r="CX163" s="268"/>
      <c r="CY163" s="268"/>
      <c r="CZ163" s="268"/>
      <c r="DA163" s="268"/>
      <c r="DB163" s="268"/>
      <c r="DC163" s="268"/>
      <c r="DD163" s="268"/>
      <c r="DE163" s="268"/>
      <c r="DF163" s="268"/>
      <c r="DG163" s="268"/>
      <c r="DH163" s="268"/>
      <c r="DI163" s="268"/>
      <c r="DJ163" s="268"/>
    </row>
    <row r="164" spans="1:114" s="272" customFormat="1" ht="9.75" customHeight="1" hidden="1">
      <c r="A164" s="222"/>
      <c r="B164" s="270"/>
      <c r="C164" s="222"/>
      <c r="D164" s="295"/>
      <c r="E164" s="273"/>
      <c r="F164" s="271"/>
      <c r="G164" s="271"/>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row>
    <row r="165" spans="1:114" s="272" customFormat="1" ht="46.5" customHeight="1">
      <c r="A165" s="223" t="s">
        <v>326</v>
      </c>
      <c r="B165" s="273"/>
      <c r="C165" s="223"/>
      <c r="D165" s="295"/>
      <c r="E165" s="273" t="s">
        <v>34</v>
      </c>
      <c r="F165" s="271"/>
      <c r="G165" s="223" t="s">
        <v>343</v>
      </c>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c r="AX165" s="232"/>
      <c r="AY165" s="232"/>
      <c r="AZ165" s="232"/>
      <c r="BA165" s="232"/>
      <c r="BB165" s="232"/>
      <c r="BC165" s="232"/>
      <c r="BD165" s="232"/>
      <c r="BE165" s="232"/>
      <c r="BF165" s="232"/>
      <c r="BG165" s="232"/>
      <c r="BH165" s="232"/>
      <c r="BI165" s="232"/>
      <c r="BJ165" s="232"/>
      <c r="BK165" s="232"/>
      <c r="BL165" s="232"/>
      <c r="BM165" s="232"/>
      <c r="BN165" s="232"/>
      <c r="BO165" s="232"/>
      <c r="BP165" s="232"/>
      <c r="BQ165" s="232"/>
      <c r="BR165" s="232"/>
      <c r="BS165" s="232"/>
      <c r="BT165" s="232"/>
      <c r="BU165" s="232"/>
      <c r="BV165" s="232"/>
      <c r="BW165" s="232"/>
      <c r="BX165" s="232"/>
      <c r="BY165" s="232"/>
      <c r="BZ165" s="232"/>
      <c r="CA165" s="232"/>
      <c r="CB165" s="232"/>
      <c r="CC165" s="232"/>
      <c r="CD165" s="232"/>
      <c r="CE165" s="232"/>
      <c r="CF165" s="232"/>
      <c r="CG165" s="232"/>
      <c r="CH165" s="232"/>
      <c r="CI165" s="232"/>
      <c r="CJ165" s="232"/>
      <c r="CK165" s="232"/>
      <c r="CL165" s="232"/>
      <c r="CM165" s="232"/>
      <c r="CN165" s="232"/>
      <c r="CO165" s="232"/>
      <c r="CP165" s="232"/>
      <c r="CQ165" s="232"/>
      <c r="CR165" s="232"/>
      <c r="CS165" s="232"/>
      <c r="CT165" s="232"/>
      <c r="CU165" s="232"/>
      <c r="CV165" s="232"/>
      <c r="CW165" s="232"/>
      <c r="CX165" s="232"/>
      <c r="CY165" s="232"/>
      <c r="CZ165" s="232"/>
      <c r="DA165" s="232"/>
      <c r="DB165" s="232"/>
      <c r="DC165" s="232"/>
      <c r="DD165" s="232"/>
      <c r="DE165" s="232"/>
      <c r="DF165" s="232"/>
      <c r="DG165" s="232"/>
      <c r="DH165" s="232"/>
      <c r="DI165" s="232"/>
      <c r="DJ165" s="232"/>
    </row>
    <row r="166" spans="1:9" ht="20.25" customHeight="1">
      <c r="A166" s="222" t="s">
        <v>35</v>
      </c>
      <c r="B166" s="270"/>
      <c r="C166" s="224"/>
      <c r="D166" s="296"/>
      <c r="E166" s="300"/>
      <c r="F166" s="222"/>
      <c r="G166" s="222" t="s">
        <v>344</v>
      </c>
      <c r="H166" s="182"/>
      <c r="I166" s="182"/>
    </row>
    <row r="167" spans="1:10" ht="20.25" customHeight="1">
      <c r="A167" s="224" t="s">
        <v>345</v>
      </c>
      <c r="B167" s="224"/>
      <c r="C167" s="224"/>
      <c r="D167" s="295"/>
      <c r="E167" s="298"/>
      <c r="F167" s="274"/>
      <c r="G167" s="274"/>
      <c r="H167" s="182"/>
      <c r="I167" s="246"/>
      <c r="J167" s="182" t="s">
        <v>327</v>
      </c>
    </row>
    <row r="168" spans="1:9" ht="20.25" customHeight="1">
      <c r="A168" s="224" t="s">
        <v>346</v>
      </c>
      <c r="B168" s="224"/>
      <c r="C168" s="224"/>
      <c r="D168" s="295"/>
      <c r="E168" s="298"/>
      <c r="F168" s="274"/>
      <c r="G168" s="274"/>
      <c r="H168" s="182"/>
      <c r="I168" s="182"/>
    </row>
    <row r="169" spans="1:9" ht="12" customHeight="1">
      <c r="A169" s="182"/>
      <c r="B169" s="225"/>
      <c r="C169" s="225"/>
      <c r="D169" s="297"/>
      <c r="E169" s="225"/>
      <c r="F169" s="182"/>
      <c r="G169" s="182"/>
      <c r="H169" s="182"/>
      <c r="I169" s="182"/>
    </row>
    <row r="170" spans="1:9" ht="15.75">
      <c r="A170" s="182"/>
      <c r="B170" s="225"/>
      <c r="C170" s="225"/>
      <c r="D170" s="297"/>
      <c r="E170" s="225"/>
      <c r="F170" s="182"/>
      <c r="G170" s="182"/>
      <c r="H170" s="182"/>
      <c r="I170" s="182"/>
    </row>
    <row r="171" spans="1:9" ht="15.75">
      <c r="A171" s="182"/>
      <c r="B171" s="225"/>
      <c r="C171" s="225"/>
      <c r="D171" s="297"/>
      <c r="E171" s="225"/>
      <c r="F171" s="182"/>
      <c r="G171" s="182"/>
      <c r="H171" s="182"/>
      <c r="I171" s="182"/>
    </row>
  </sheetData>
  <sheetProtection/>
  <mergeCells count="167">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E27:E28"/>
    <mergeCell ref="F27:F28"/>
    <mergeCell ref="A18:A19"/>
    <mergeCell ref="B18:B19"/>
    <mergeCell ref="A21:A22"/>
    <mergeCell ref="B21:B22"/>
    <mergeCell ref="C21:C22"/>
    <mergeCell ref="A24:A25"/>
    <mergeCell ref="B24:B25"/>
    <mergeCell ref="C24:C25"/>
    <mergeCell ref="G27:G28"/>
    <mergeCell ref="H27:H28"/>
    <mergeCell ref="I27:I28"/>
    <mergeCell ref="A31:A32"/>
    <mergeCell ref="B31:B32"/>
    <mergeCell ref="C31:C32"/>
    <mergeCell ref="A27:A29"/>
    <mergeCell ref="B27:B29"/>
    <mergeCell ref="C27:C29"/>
    <mergeCell ref="D27:D28"/>
    <mergeCell ref="A34:A35"/>
    <mergeCell ref="B34:B35"/>
    <mergeCell ref="C34:C35"/>
    <mergeCell ref="A37:A38"/>
    <mergeCell ref="B37:B38"/>
    <mergeCell ref="C37:C39"/>
    <mergeCell ref="A40:A41"/>
    <mergeCell ref="B40:B41"/>
    <mergeCell ref="C40:C41"/>
    <mergeCell ref="A43:A44"/>
    <mergeCell ref="B43:B44"/>
    <mergeCell ref="C43:C45"/>
    <mergeCell ref="A46:A47"/>
    <mergeCell ref="B46:B47"/>
    <mergeCell ref="C46:C47"/>
    <mergeCell ref="A49:A50"/>
    <mergeCell ref="B49:B50"/>
    <mergeCell ref="C49:C50"/>
    <mergeCell ref="A52:A53"/>
    <mergeCell ref="B52:B53"/>
    <mergeCell ref="C52:C53"/>
    <mergeCell ref="A55:A56"/>
    <mergeCell ref="B55:B56"/>
    <mergeCell ref="C55:C57"/>
    <mergeCell ref="A58:A59"/>
    <mergeCell ref="B58:B59"/>
    <mergeCell ref="C58:C60"/>
    <mergeCell ref="A61:A62"/>
    <mergeCell ref="B61:B62"/>
    <mergeCell ref="C61:C63"/>
    <mergeCell ref="A65:A66"/>
    <mergeCell ref="B65:B66"/>
    <mergeCell ref="C65:C67"/>
    <mergeCell ref="A68:A69"/>
    <mergeCell ref="B68:B69"/>
    <mergeCell ref="C68:C70"/>
    <mergeCell ref="A71:A72"/>
    <mergeCell ref="B71:B72"/>
    <mergeCell ref="C71:C72"/>
    <mergeCell ref="F71:F72"/>
    <mergeCell ref="G71:G72"/>
    <mergeCell ref="A74:A76"/>
    <mergeCell ref="B74:B76"/>
    <mergeCell ref="F74:F76"/>
    <mergeCell ref="G74:G76"/>
    <mergeCell ref="C75:C76"/>
    <mergeCell ref="A78:A79"/>
    <mergeCell ref="B78:B79"/>
    <mergeCell ref="C78:C79"/>
    <mergeCell ref="F78:F79"/>
    <mergeCell ref="G78:G79"/>
    <mergeCell ref="A81:A83"/>
    <mergeCell ref="B81:B83"/>
    <mergeCell ref="C81:C82"/>
    <mergeCell ref="F81:F83"/>
    <mergeCell ref="G81:G83"/>
    <mergeCell ref="A85:A86"/>
    <mergeCell ref="B85:B86"/>
    <mergeCell ref="C85:C87"/>
    <mergeCell ref="F85:F86"/>
    <mergeCell ref="G85:G86"/>
    <mergeCell ref="A98:A99"/>
    <mergeCell ref="B98:B99"/>
    <mergeCell ref="C98:C100"/>
    <mergeCell ref="F98:F99"/>
    <mergeCell ref="G98:G99"/>
    <mergeCell ref="A101:A102"/>
    <mergeCell ref="B101:B102"/>
    <mergeCell ref="F101:F102"/>
    <mergeCell ref="G101:G102"/>
    <mergeCell ref="A104:A105"/>
    <mergeCell ref="B104:B105"/>
    <mergeCell ref="C104:C105"/>
    <mergeCell ref="F104:F105"/>
    <mergeCell ref="G104:G105"/>
    <mergeCell ref="A107:A109"/>
    <mergeCell ref="B107:B109"/>
    <mergeCell ref="F107:F109"/>
    <mergeCell ref="G107:G109"/>
    <mergeCell ref="C108:C109"/>
    <mergeCell ref="A111:A112"/>
    <mergeCell ref="B111:B112"/>
    <mergeCell ref="C111:C112"/>
    <mergeCell ref="F111:F112"/>
    <mergeCell ref="G111:G112"/>
    <mergeCell ref="A114:A116"/>
    <mergeCell ref="B114:B116"/>
    <mergeCell ref="F114:F116"/>
    <mergeCell ref="G114:G116"/>
    <mergeCell ref="C115:C116"/>
    <mergeCell ref="A118:A119"/>
    <mergeCell ref="B118:B119"/>
    <mergeCell ref="F118:F119"/>
    <mergeCell ref="G118:G119"/>
    <mergeCell ref="E118:E120"/>
    <mergeCell ref="G121:G122"/>
    <mergeCell ref="A124:A125"/>
    <mergeCell ref="B124:B125"/>
    <mergeCell ref="C124:C125"/>
    <mergeCell ref="F124:F125"/>
    <mergeCell ref="G124:G125"/>
    <mergeCell ref="A121:A122"/>
    <mergeCell ref="B121:B122"/>
    <mergeCell ref="F121:F122"/>
    <mergeCell ref="G137:G138"/>
    <mergeCell ref="A127:A128"/>
    <mergeCell ref="B127:B128"/>
    <mergeCell ref="F127:F128"/>
    <mergeCell ref="G127:G128"/>
    <mergeCell ref="A130:A132"/>
    <mergeCell ref="B130:B132"/>
    <mergeCell ref="C130:C131"/>
    <mergeCell ref="F130:F132"/>
    <mergeCell ref="G130:G132"/>
    <mergeCell ref="G140:G141"/>
    <mergeCell ref="A157:A158"/>
    <mergeCell ref="B157:B158"/>
    <mergeCell ref="C157:C159"/>
    <mergeCell ref="A134:A135"/>
    <mergeCell ref="B134:B135"/>
    <mergeCell ref="F134:F135"/>
    <mergeCell ref="G134:G135"/>
    <mergeCell ref="A137:A138"/>
    <mergeCell ref="B137:B138"/>
    <mergeCell ref="E140:E142"/>
    <mergeCell ref="E134:E136"/>
    <mergeCell ref="A140:A141"/>
    <mergeCell ref="B140:B141"/>
    <mergeCell ref="F140:F141"/>
    <mergeCell ref="F137:F138"/>
  </mergeCells>
  <printOptions/>
  <pageMargins left="0.31496062992125984" right="0.11811023622047245" top="0.11811023622047245" bottom="0.11811023622047245" header="0.31496062992125984" footer="0.31496062992125984"/>
  <pageSetup horizontalDpi="600" verticalDpi="600" orientation="portrait" paperSize="9" scale="60" r:id="rId1"/>
</worksheet>
</file>

<file path=xl/worksheets/sheet23.xml><?xml version="1.0" encoding="utf-8"?>
<worksheet xmlns="http://schemas.openxmlformats.org/spreadsheetml/2006/main" xmlns:r="http://schemas.openxmlformats.org/officeDocument/2006/relationships">
  <dimension ref="A1:DJ170"/>
  <sheetViews>
    <sheetView zoomScalePageLayoutView="0" workbookViewId="0" topLeftCell="A22">
      <selection activeCell="B11" sqref="B11:B13"/>
    </sheetView>
  </sheetViews>
  <sheetFormatPr defaultColWidth="25.7109375" defaultRowHeight="15"/>
  <cols>
    <col min="1" max="1" width="14.28125" style="4" customWidth="1"/>
    <col min="2" max="2" width="13.7109375" style="226" customWidth="1"/>
    <col min="3" max="3" width="38.28125" style="226" customWidth="1"/>
    <col min="4" max="4" width="11.421875" style="275" customWidth="1"/>
    <col min="5" max="5" width="19.00390625" style="226" customWidth="1"/>
    <col min="6" max="6" width="10.8515625" style="4" customWidth="1"/>
    <col min="7" max="7" width="11.00390625" style="4" customWidth="1"/>
    <col min="8" max="8" width="9.28125" style="4" customWidth="1"/>
    <col min="9" max="9" width="14.85156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355</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24</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27.75" customHeight="1">
      <c r="A15" s="366" t="s">
        <v>7</v>
      </c>
      <c r="B15" s="359">
        <f>776.6+847.8+13872</f>
        <v>15496.4</v>
      </c>
      <c r="C15" s="361" t="s">
        <v>356</v>
      </c>
      <c r="D15" s="214"/>
      <c r="E15" s="276"/>
      <c r="F15" s="236"/>
      <c r="G15" s="230"/>
      <c r="H15" s="228"/>
      <c r="I15" s="213"/>
      <c r="J15" s="235"/>
      <c r="K15" s="246"/>
    </row>
    <row r="16" spans="1:11" ht="13.5" customHeight="1">
      <c r="A16" s="367"/>
      <c r="B16" s="360"/>
      <c r="C16" s="362"/>
      <c r="D16" s="214"/>
      <c r="E16" s="261"/>
      <c r="F16" s="236"/>
      <c r="G16" s="230"/>
      <c r="H16" s="228"/>
      <c r="I16" s="228"/>
      <c r="J16" s="235"/>
      <c r="K16" s="246"/>
    </row>
    <row r="17" spans="1:114" s="245" customFormat="1" ht="22.5" customHeight="1">
      <c r="A17" s="229" t="s">
        <v>19</v>
      </c>
      <c r="B17" s="238">
        <f>SUM(B15)</f>
        <v>15496.4</v>
      </c>
      <c r="C17" s="215"/>
      <c r="D17" s="279">
        <f>D16+D15</f>
        <v>0</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05" t="s">
        <v>32</v>
      </c>
      <c r="B18" s="306">
        <v>670</v>
      </c>
      <c r="C18" s="215" t="s">
        <v>353</v>
      </c>
      <c r="D18" s="214"/>
      <c r="E18" s="276"/>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229" t="s">
        <v>19</v>
      </c>
      <c r="B19" s="238">
        <f>SUM(B18)</f>
        <v>670</v>
      </c>
      <c r="C19" s="303"/>
      <c r="D19" s="279">
        <f>D18</f>
        <v>0</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20.25" customHeight="1">
      <c r="A20" s="366" t="s">
        <v>55</v>
      </c>
      <c r="B20" s="359">
        <v>537</v>
      </c>
      <c r="C20" s="361" t="s">
        <v>353</v>
      </c>
      <c r="D20" s="214"/>
      <c r="E20" s="276"/>
      <c r="F20" s="236"/>
      <c r="G20" s="230"/>
      <c r="H20" s="228"/>
      <c r="I20" s="213"/>
      <c r="J20" s="235"/>
      <c r="K20" s="246"/>
    </row>
    <row r="21" spans="1:11" ht="16.5" customHeight="1">
      <c r="A21" s="367"/>
      <c r="B21" s="360"/>
      <c r="C21" s="416"/>
      <c r="D21" s="249"/>
      <c r="E21" s="261"/>
      <c r="F21" s="236"/>
      <c r="G21" s="230"/>
      <c r="H21" s="228"/>
      <c r="I21" s="228"/>
      <c r="J21" s="235"/>
      <c r="K21" s="246"/>
    </row>
    <row r="22" spans="1:114" s="245" customFormat="1" ht="28.5" customHeight="1">
      <c r="A22" s="229" t="s">
        <v>20</v>
      </c>
      <c r="B22" s="238">
        <f>B20</f>
        <v>537</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47.25" customHeight="1">
      <c r="A23" s="366" t="s">
        <v>8</v>
      </c>
      <c r="B23" s="359">
        <v>2940</v>
      </c>
      <c r="C23" s="361" t="s">
        <v>335</v>
      </c>
      <c r="D23" s="214"/>
      <c r="E23" s="276"/>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18" customHeight="1">
      <c r="A26" s="366" t="s">
        <v>9</v>
      </c>
      <c r="B26" s="359">
        <v>697</v>
      </c>
      <c r="C26" s="361" t="s">
        <v>352</v>
      </c>
      <c r="D26" s="357"/>
      <c r="E26" s="357"/>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357"/>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0</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10</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42.75" customHeight="1">
      <c r="A33" s="365" t="s">
        <v>11</v>
      </c>
      <c r="B33" s="369">
        <f>24050+1000</f>
        <v>25050</v>
      </c>
      <c r="C33" s="370" t="s">
        <v>357</v>
      </c>
      <c r="D33" s="214"/>
      <c r="E33" s="214"/>
      <c r="F33" s="251"/>
      <c r="G33" s="230"/>
      <c r="H33" s="207"/>
      <c r="I33" s="207"/>
      <c r="J33" s="235"/>
    </row>
    <row r="34" spans="1:10" ht="24.75" customHeight="1">
      <c r="A34" s="365"/>
      <c r="B34" s="369"/>
      <c r="C34" s="370"/>
      <c r="D34" s="214"/>
      <c r="E34" s="261"/>
      <c r="F34" s="251"/>
      <c r="G34" s="230"/>
      <c r="H34" s="207"/>
      <c r="I34" s="207"/>
      <c r="J34" s="235"/>
    </row>
    <row r="35" spans="1:114" s="245" customFormat="1" ht="27.75" customHeight="1">
      <c r="A35" s="229" t="s">
        <v>20</v>
      </c>
      <c r="B35" s="238">
        <f>SUM(B33:B34)</f>
        <v>25050</v>
      </c>
      <c r="C35" s="146"/>
      <c r="D35" s="285">
        <f>D34+D33</f>
        <v>0</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0.25" customHeight="1">
      <c r="A36" s="365" t="s">
        <v>49</v>
      </c>
      <c r="B36" s="369">
        <f>179.8+747</f>
        <v>926.8</v>
      </c>
      <c r="C36" s="361" t="s">
        <v>358</v>
      </c>
      <c r="D36" s="214"/>
      <c r="E36" s="214"/>
      <c r="F36" s="251"/>
      <c r="G36" s="230"/>
      <c r="H36" s="207"/>
      <c r="I36" s="207"/>
      <c r="J36" s="235"/>
    </row>
    <row r="37" spans="1:10" ht="12" customHeight="1">
      <c r="A37" s="365"/>
      <c r="B37" s="369"/>
      <c r="C37" s="375"/>
      <c r="D37" s="262"/>
      <c r="E37" s="261"/>
      <c r="F37" s="251"/>
      <c r="G37" s="230"/>
      <c r="H37" s="207"/>
      <c r="I37" s="207"/>
      <c r="J37" s="235"/>
    </row>
    <row r="38" spans="1:114" s="245" customFormat="1" ht="36" customHeight="1">
      <c r="A38" s="229" t="s">
        <v>20</v>
      </c>
      <c r="B38" s="238">
        <f>SUM(B36:B37)</f>
        <v>926.8</v>
      </c>
      <c r="C38" s="362"/>
      <c r="D38" s="221">
        <f>D37+D36</f>
        <v>0</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63"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f>
        <v>1432</v>
      </c>
      <c r="C42" s="361" t="s">
        <v>354</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1432</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21" customHeight="1">
      <c r="A45" s="366" t="s">
        <v>13</v>
      </c>
      <c r="B45" s="359">
        <v>1330</v>
      </c>
      <c r="C45" s="361" t="s">
        <v>361</v>
      </c>
      <c r="D45" s="262"/>
      <c r="E45" s="276"/>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23.25" customHeight="1">
      <c r="A46" s="367"/>
      <c r="B46" s="360"/>
      <c r="C46" s="362"/>
      <c r="D46" s="214"/>
      <c r="E46" s="214"/>
      <c r="F46" s="152"/>
      <c r="G46" s="230"/>
      <c r="H46" s="207"/>
      <c r="I46" s="207"/>
      <c r="J46" s="235"/>
    </row>
    <row r="47" spans="1:114" s="245" customFormat="1" ht="31.5" customHeight="1">
      <c r="A47" s="229" t="s">
        <v>20</v>
      </c>
      <c r="B47" s="238">
        <f>SUM(B45)</f>
        <v>1330</v>
      </c>
      <c r="C47" s="215"/>
      <c r="D47" s="220">
        <f>D46+D45</f>
        <v>0</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115695.74000000002</v>
      </c>
      <c r="C63" s="147"/>
      <c r="D63" s="254">
        <f>D62+D59+D56+D53+D50+D47+D44+D41+D38+D35+D32+D29+D25+D22+D19+D17+D14</f>
        <v>0</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c r="C64" s="361"/>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c r="C67" s="361"/>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22.5" customHeight="1">
      <c r="A70" s="365" t="s">
        <v>329</v>
      </c>
      <c r="B70" s="369"/>
      <c r="C70" s="387"/>
      <c r="D70" s="262"/>
      <c r="E70" s="276"/>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24" customHeight="1">
      <c r="A71" s="365"/>
      <c r="B71" s="369"/>
      <c r="C71" s="389"/>
      <c r="D71" s="261"/>
      <c r="E71" s="276"/>
      <c r="F71" s="385"/>
      <c r="G71" s="377"/>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229" t="s">
        <v>20</v>
      </c>
      <c r="B72" s="238">
        <f>B70</f>
        <v>0</v>
      </c>
      <c r="C72" s="146"/>
      <c r="D72" s="220">
        <f>SUM(D70:D71)</f>
        <v>0</v>
      </c>
      <c r="E72" s="221"/>
      <c r="F72" s="250">
        <f>F70</f>
        <v>0</v>
      </c>
      <c r="G72" s="240"/>
      <c r="H72" s="159">
        <f>SUM(H70:H71)</f>
        <v>0</v>
      </c>
      <c r="I72" s="231"/>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4" customHeight="1">
      <c r="A73" s="366" t="s">
        <v>38</v>
      </c>
      <c r="B73" s="359"/>
      <c r="C73" s="233"/>
      <c r="D73" s="214"/>
      <c r="E73" s="214"/>
      <c r="F73" s="383"/>
      <c r="G73" s="376"/>
      <c r="H73" s="159"/>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1.75" customHeight="1">
      <c r="A74" s="372"/>
      <c r="B74" s="373"/>
      <c r="C74" s="418"/>
      <c r="D74" s="261"/>
      <c r="E74" s="276"/>
      <c r="F74" s="384"/>
      <c r="G74" s="386"/>
      <c r="H74" s="207"/>
      <c r="I74" s="207"/>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9" ht="2.25" customHeight="1" hidden="1">
      <c r="A75" s="367"/>
      <c r="B75" s="360"/>
      <c r="C75" s="419"/>
      <c r="D75" s="261"/>
      <c r="E75" s="287"/>
      <c r="F75" s="385"/>
      <c r="G75" s="377"/>
      <c r="H75" s="259"/>
      <c r="I75" s="207"/>
    </row>
    <row r="76" spans="1:114" s="245" customFormat="1" ht="19.5" customHeight="1">
      <c r="A76" s="229" t="s">
        <v>20</v>
      </c>
      <c r="B76" s="238">
        <f>SUM(B73:B73)</f>
        <v>0</v>
      </c>
      <c r="C76" s="146"/>
      <c r="D76" s="220">
        <f>SUM(D73:D75)</f>
        <v>0</v>
      </c>
      <c r="E76" s="288"/>
      <c r="F76" s="250">
        <f>F73</f>
        <v>0</v>
      </c>
      <c r="G76" s="240"/>
      <c r="H76" s="158">
        <f>SUM(H74:H75)</f>
        <v>0</v>
      </c>
      <c r="I76" s="231"/>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4" customHeight="1">
      <c r="A77" s="366" t="s">
        <v>322</v>
      </c>
      <c r="B77" s="359"/>
      <c r="C77" s="387"/>
      <c r="D77" s="287"/>
      <c r="E77" s="214"/>
      <c r="F77" s="383"/>
      <c r="G77" s="376"/>
      <c r="H77" s="158"/>
      <c r="I77" s="231"/>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1.75" customHeight="1">
      <c r="A78" s="367"/>
      <c r="B78" s="360"/>
      <c r="C78" s="389"/>
      <c r="D78" s="261"/>
      <c r="E78" s="287"/>
      <c r="F78" s="385"/>
      <c r="G78" s="377"/>
      <c r="H78" s="260"/>
      <c r="I78" s="260"/>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6.25" customHeight="1">
      <c r="A79" s="229" t="s">
        <v>20</v>
      </c>
      <c r="B79" s="238">
        <f>SUM(B77:B78)</f>
        <v>0</v>
      </c>
      <c r="C79" s="147"/>
      <c r="D79" s="221">
        <f>SUM(D77:D78)</f>
        <v>0</v>
      </c>
      <c r="E79" s="221"/>
      <c r="F79" s="160">
        <f>F77</f>
        <v>0</v>
      </c>
      <c r="G79" s="240"/>
      <c r="H79" s="158">
        <f>SUM(H77:H78)</f>
        <v>0</v>
      </c>
      <c r="I79" s="231"/>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19.5" customHeight="1">
      <c r="A80" s="366" t="s">
        <v>321</v>
      </c>
      <c r="B80" s="390"/>
      <c r="C80" s="409"/>
      <c r="D80" s="287"/>
      <c r="E80" s="214"/>
      <c r="F80" s="393"/>
      <c r="G80" s="376"/>
      <c r="H80" s="259"/>
      <c r="I80" s="207"/>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17.25" customHeight="1">
      <c r="A81" s="372"/>
      <c r="B81" s="391"/>
      <c r="C81" s="410"/>
      <c r="D81" s="262"/>
      <c r="E81" s="276"/>
      <c r="F81" s="394"/>
      <c r="G81" s="386"/>
      <c r="H81" s="259"/>
      <c r="I81" s="207"/>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6.5" customHeight="1">
      <c r="A82" s="367"/>
      <c r="B82" s="392"/>
      <c r="C82" s="215"/>
      <c r="D82" s="261"/>
      <c r="E82" s="262"/>
      <c r="F82" s="395"/>
      <c r="G82" s="377"/>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4" customHeight="1">
      <c r="A83" s="229" t="s">
        <v>20</v>
      </c>
      <c r="B83" s="238">
        <f>SUM(B80:B82)</f>
        <v>0</v>
      </c>
      <c r="C83" s="147"/>
      <c r="D83" s="220">
        <f>D82+D80+D81</f>
        <v>0</v>
      </c>
      <c r="E83" s="221"/>
      <c r="F83" s="160">
        <f>F80</f>
        <v>0</v>
      </c>
      <c r="G83" s="240"/>
      <c r="H83" s="158">
        <f>SUM(H80:H82)</f>
        <v>0</v>
      </c>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9" ht="15" customHeight="1">
      <c r="A84" s="366" t="s">
        <v>29</v>
      </c>
      <c r="B84" s="359">
        <v>415</v>
      </c>
      <c r="C84" s="370" t="s">
        <v>36</v>
      </c>
      <c r="D84" s="262"/>
      <c r="E84" s="261"/>
      <c r="F84" s="396"/>
      <c r="G84" s="376"/>
      <c r="H84" s="152"/>
      <c r="I84" s="207"/>
    </row>
    <row r="85" spans="1:9" ht="24" customHeight="1">
      <c r="A85" s="367"/>
      <c r="B85" s="360"/>
      <c r="C85" s="370"/>
      <c r="D85" s="286"/>
      <c r="E85" s="214"/>
      <c r="F85" s="398"/>
      <c r="G85" s="377"/>
      <c r="H85" s="152"/>
      <c r="I85" s="207"/>
    </row>
    <row r="86" spans="1:114" s="245" customFormat="1" ht="22.5" customHeight="1">
      <c r="A86" s="229" t="s">
        <v>20</v>
      </c>
      <c r="B86" s="252">
        <f>SUM(B84:B84)</f>
        <v>415</v>
      </c>
      <c r="C86" s="370"/>
      <c r="D86" s="220">
        <f>D85+D84</f>
        <v>0</v>
      </c>
      <c r="E86" s="221"/>
      <c r="F86" s="160">
        <f>F84</f>
        <v>0</v>
      </c>
      <c r="G86" s="240"/>
      <c r="H86" s="250">
        <f>H84</f>
        <v>0</v>
      </c>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174.75" customHeight="1" hidden="1">
      <c r="A87" s="229" t="s">
        <v>20</v>
      </c>
      <c r="B87" s="238">
        <f>SUM(B84:B86)</f>
        <v>830</v>
      </c>
      <c r="C87" s="146"/>
      <c r="D87" s="221"/>
      <c r="E87" s="220"/>
      <c r="F87" s="159"/>
      <c r="G87" s="240"/>
      <c r="H87" s="158"/>
      <c r="I87" s="158"/>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16.5" customHeight="1" hidden="1">
      <c r="A88" s="263" t="s">
        <v>37</v>
      </c>
      <c r="B88" s="264">
        <v>10999</v>
      </c>
      <c r="C88" s="215" t="s">
        <v>52</v>
      </c>
      <c r="D88" s="221"/>
      <c r="E88" s="220"/>
      <c r="F88" s="159"/>
      <c r="G88" s="240"/>
      <c r="H88" s="158"/>
      <c r="I88" s="158"/>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9" ht="17.25" customHeight="1" hidden="1">
      <c r="A89" s="263" t="s">
        <v>37</v>
      </c>
      <c r="B89" s="264">
        <v>1219</v>
      </c>
      <c r="C89" s="215" t="s">
        <v>43</v>
      </c>
      <c r="D89" s="262"/>
      <c r="E89" s="220"/>
      <c r="F89" s="162"/>
      <c r="G89" s="230"/>
      <c r="H89" s="259"/>
      <c r="I89" s="207"/>
    </row>
    <row r="90" spans="1:114" s="245" customFormat="1" ht="16.5" customHeight="1" hidden="1">
      <c r="A90" s="229" t="s">
        <v>20</v>
      </c>
      <c r="B90" s="238">
        <f>SUM(B88:B89)</f>
        <v>12218</v>
      </c>
      <c r="C90" s="146"/>
      <c r="D90" s="221"/>
      <c r="E90" s="220"/>
      <c r="F90" s="159"/>
      <c r="G90" s="240"/>
      <c r="H90" s="158"/>
      <c r="I90" s="158"/>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row>
    <row r="91" spans="1:114" s="245" customFormat="1" ht="16.5" customHeight="1" hidden="1">
      <c r="A91" s="263" t="s">
        <v>30</v>
      </c>
      <c r="B91" s="261">
        <v>3133</v>
      </c>
      <c r="C91" s="215" t="s">
        <v>44</v>
      </c>
      <c r="D91" s="262"/>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18.75" customHeight="1" hidden="1">
      <c r="A92" s="263" t="s">
        <v>30</v>
      </c>
      <c r="B92" s="261">
        <v>120</v>
      </c>
      <c r="C92" s="215" t="s">
        <v>36</v>
      </c>
      <c r="D92" s="262"/>
      <c r="E92" s="220"/>
      <c r="F92" s="159"/>
      <c r="G92" s="240"/>
      <c r="H92" s="158"/>
      <c r="I92" s="158"/>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18.75" customHeight="1" hidden="1">
      <c r="A93" s="263" t="s">
        <v>30</v>
      </c>
      <c r="B93" s="261">
        <v>210</v>
      </c>
      <c r="C93" s="215" t="s">
        <v>36</v>
      </c>
      <c r="D93" s="262"/>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6.5" customHeight="1" hidden="1">
      <c r="A94" s="229" t="s">
        <v>20</v>
      </c>
      <c r="B94" s="220">
        <f>SUM(B91:B93)</f>
        <v>3463</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7.25" customHeight="1" hidden="1">
      <c r="A95" s="263" t="s">
        <v>31</v>
      </c>
      <c r="B95" s="265">
        <v>60</v>
      </c>
      <c r="C95" s="215" t="s">
        <v>48</v>
      </c>
      <c r="D95" s="265">
        <v>149639.87</v>
      </c>
      <c r="E95" s="289" t="s">
        <v>47</v>
      </c>
      <c r="F95" s="156"/>
      <c r="G95" s="240"/>
      <c r="H95" s="263"/>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7.25" customHeight="1" hidden="1">
      <c r="A96" s="263" t="s">
        <v>31</v>
      </c>
      <c r="B96" s="265">
        <v>3951.33</v>
      </c>
      <c r="C96" s="215" t="s">
        <v>51</v>
      </c>
      <c r="D96" s="265"/>
      <c r="E96" s="289"/>
      <c r="F96" s="156"/>
      <c r="G96" s="240"/>
      <c r="H96" s="263"/>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9" ht="21.75" customHeight="1">
      <c r="A97" s="366" t="s">
        <v>37</v>
      </c>
      <c r="B97" s="359"/>
      <c r="C97" s="361"/>
      <c r="D97" s="262"/>
      <c r="E97" s="261"/>
      <c r="F97" s="396"/>
      <c r="G97" s="376"/>
      <c r="H97" s="259"/>
      <c r="I97" s="207"/>
    </row>
    <row r="98" spans="1:9" ht="23.25" customHeight="1">
      <c r="A98" s="367"/>
      <c r="B98" s="360"/>
      <c r="C98" s="375"/>
      <c r="D98" s="262"/>
      <c r="E98" s="276"/>
      <c r="F98" s="398"/>
      <c r="G98" s="377"/>
      <c r="H98" s="162"/>
      <c r="I98" s="213"/>
    </row>
    <row r="99" spans="1:114" s="245" customFormat="1" ht="25.5" customHeight="1">
      <c r="A99" s="229" t="s">
        <v>20</v>
      </c>
      <c r="B99" s="252">
        <f>SUM(B97:B97)</f>
        <v>0</v>
      </c>
      <c r="C99" s="362"/>
      <c r="D99" s="220">
        <f>SUM(D97:D98)</f>
        <v>0</v>
      </c>
      <c r="E99" s="221"/>
      <c r="F99" s="160">
        <f>F97</f>
        <v>0</v>
      </c>
      <c r="G99" s="240"/>
      <c r="H99" s="158">
        <f>SUM(H97:H98)</f>
        <v>0</v>
      </c>
      <c r="I99" s="231"/>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24.75" customHeight="1">
      <c r="A100" s="366" t="s">
        <v>30</v>
      </c>
      <c r="B100" s="359"/>
      <c r="C100" s="234"/>
      <c r="D100" s="287"/>
      <c r="E100" s="214"/>
      <c r="F100" s="396"/>
      <c r="G100" s="376"/>
      <c r="H100" s="259"/>
      <c r="I100" s="207"/>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9" ht="16.5" customHeight="1">
      <c r="A101" s="367"/>
      <c r="B101" s="360"/>
      <c r="C101" s="215"/>
      <c r="D101" s="262"/>
      <c r="E101" s="261"/>
      <c r="F101" s="398"/>
      <c r="G101" s="377"/>
      <c r="H101" s="262"/>
      <c r="I101" s="299"/>
    </row>
    <row r="102" spans="1:114" s="245" customFormat="1" ht="25.5" customHeight="1">
      <c r="A102" s="229" t="s">
        <v>20</v>
      </c>
      <c r="B102" s="238">
        <f>SUM(B100:B100)</f>
        <v>0</v>
      </c>
      <c r="C102" s="147"/>
      <c r="D102" s="220">
        <f>D101+D100</f>
        <v>0</v>
      </c>
      <c r="E102" s="221"/>
      <c r="F102" s="160">
        <f>F100</f>
        <v>0</v>
      </c>
      <c r="G102" s="240"/>
      <c r="H102" s="158">
        <f>SUM(H100:H101)</f>
        <v>0</v>
      </c>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27" customHeight="1">
      <c r="A103" s="366" t="s">
        <v>57</v>
      </c>
      <c r="B103" s="359"/>
      <c r="C103" s="409"/>
      <c r="D103" s="287"/>
      <c r="E103" s="214"/>
      <c r="F103" s="396"/>
      <c r="G103" s="376"/>
      <c r="H103" s="259"/>
      <c r="I103" s="207"/>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25.5" customHeight="1">
      <c r="A104" s="367"/>
      <c r="B104" s="360"/>
      <c r="C104" s="410"/>
      <c r="D104" s="262"/>
      <c r="E104" s="261"/>
      <c r="F104" s="398"/>
      <c r="G104" s="377"/>
      <c r="H104" s="259"/>
      <c r="I104" s="207"/>
    </row>
    <row r="105" spans="1:114" s="245" customFormat="1" ht="21" customHeight="1">
      <c r="A105" s="229" t="s">
        <v>20</v>
      </c>
      <c r="B105" s="238">
        <f>SUM(B103:B104)</f>
        <v>0</v>
      </c>
      <c r="C105" s="147"/>
      <c r="D105" s="220">
        <f>D104+D103</f>
        <v>0</v>
      </c>
      <c r="E105" s="221"/>
      <c r="F105" s="160">
        <f>F103</f>
        <v>0</v>
      </c>
      <c r="G105" s="240"/>
      <c r="H105" s="158">
        <f>SUM(H103:H104)</f>
        <v>0</v>
      </c>
      <c r="I105" s="231"/>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row>
    <row r="106" spans="1:114" s="245" customFormat="1" ht="0.75" customHeight="1" hidden="1">
      <c r="A106" s="365" t="s">
        <v>31</v>
      </c>
      <c r="B106" s="369">
        <f>110.7</f>
        <v>110.7</v>
      </c>
      <c r="C106" s="215"/>
      <c r="D106" s="261"/>
      <c r="E106" s="290"/>
      <c r="F106" s="396"/>
      <c r="G106" s="376"/>
      <c r="H106" s="158"/>
      <c r="I106" s="231"/>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114" s="245" customFormat="1" ht="21.75" customHeight="1">
      <c r="A107" s="365"/>
      <c r="B107" s="369"/>
      <c r="C107" s="366" t="s">
        <v>348</v>
      </c>
      <c r="D107" s="261"/>
      <c r="E107" s="276"/>
      <c r="F107" s="397"/>
      <c r="G107" s="386"/>
      <c r="H107" s="156"/>
      <c r="I107" s="213"/>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row>
    <row r="108" spans="1:9" ht="17.25" customHeight="1">
      <c r="A108" s="365"/>
      <c r="B108" s="369"/>
      <c r="C108" s="367"/>
      <c r="D108" s="261"/>
      <c r="E108" s="261"/>
      <c r="F108" s="398"/>
      <c r="G108" s="377"/>
      <c r="H108" s="156"/>
      <c r="I108" s="213"/>
    </row>
    <row r="109" spans="1:114" s="245" customFormat="1" ht="24" customHeight="1">
      <c r="A109" s="229" t="s">
        <v>20</v>
      </c>
      <c r="B109" s="252">
        <f>SUM(B106:B106)</f>
        <v>110.7</v>
      </c>
      <c r="C109" s="215"/>
      <c r="D109" s="220">
        <f>D108+D106+D107</f>
        <v>0</v>
      </c>
      <c r="E109" s="262"/>
      <c r="F109" s="160">
        <f>F106</f>
        <v>0</v>
      </c>
      <c r="G109" s="240"/>
      <c r="H109" s="250">
        <f>SUM(H106:H108)</f>
        <v>0</v>
      </c>
      <c r="I109" s="231"/>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row>
    <row r="110" spans="1:114" s="245" customFormat="1" ht="26.25" customHeight="1">
      <c r="A110" s="365" t="s">
        <v>58</v>
      </c>
      <c r="B110" s="359"/>
      <c r="C110" s="361"/>
      <c r="D110" s="261"/>
      <c r="E110" s="262"/>
      <c r="F110" s="393"/>
      <c r="G110" s="376"/>
      <c r="H110" s="259"/>
      <c r="I110" s="207"/>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15.75" customHeight="1">
      <c r="A111" s="365"/>
      <c r="B111" s="360"/>
      <c r="C111" s="362"/>
      <c r="D111" s="287"/>
      <c r="E111" s="214"/>
      <c r="F111" s="395"/>
      <c r="G111" s="377"/>
      <c r="H111" s="263"/>
      <c r="I111" s="158"/>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9.5" customHeight="1">
      <c r="A112" s="229" t="s">
        <v>20</v>
      </c>
      <c r="B112" s="266">
        <f>B110</f>
        <v>0</v>
      </c>
      <c r="C112" s="146"/>
      <c r="D112" s="266">
        <f>SUM(D110:D111)</f>
        <v>0</v>
      </c>
      <c r="E112" s="220"/>
      <c r="F112" s="159">
        <f>F110</f>
        <v>0</v>
      </c>
      <c r="G112" s="240"/>
      <c r="H112" s="158">
        <f>SUM(H110:H111)</f>
        <v>0</v>
      </c>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114" s="245" customFormat="1" ht="22.5" customHeight="1">
      <c r="A113" s="366" t="s">
        <v>320</v>
      </c>
      <c r="B113" s="402"/>
      <c r="C113" s="218"/>
      <c r="D113" s="265"/>
      <c r="E113" s="262"/>
      <c r="F113" s="393"/>
      <c r="G113" s="376"/>
      <c r="H113" s="158"/>
      <c r="I113" s="158"/>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17.25" customHeight="1">
      <c r="A114" s="372"/>
      <c r="B114" s="403"/>
      <c r="C114" s="361"/>
      <c r="D114" s="291"/>
      <c r="E114" s="214"/>
      <c r="F114" s="394"/>
      <c r="G114" s="386"/>
      <c r="H114" s="263"/>
      <c r="I114" s="207"/>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14.25" customHeight="1">
      <c r="A115" s="372"/>
      <c r="B115" s="403"/>
      <c r="C115" s="362"/>
      <c r="D115" s="261"/>
      <c r="E115" s="276"/>
      <c r="F115" s="395"/>
      <c r="G115" s="377"/>
      <c r="H115" s="263"/>
      <c r="I115" s="158"/>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21" customHeight="1">
      <c r="A116" s="229" t="s">
        <v>20</v>
      </c>
      <c r="B116" s="266">
        <f>SUM(B113)</f>
        <v>0</v>
      </c>
      <c r="C116" s="146"/>
      <c r="D116" s="266">
        <f>SUM(D113:D115)</f>
        <v>0</v>
      </c>
      <c r="E116" s="220"/>
      <c r="F116" s="159">
        <f>F113</f>
        <v>0</v>
      </c>
      <c r="G116" s="240"/>
      <c r="H116" s="158">
        <f>SUM(H113:H115)</f>
        <v>0</v>
      </c>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22.5" customHeight="1">
      <c r="A117" s="365" t="s">
        <v>328</v>
      </c>
      <c r="B117" s="402"/>
      <c r="C117" s="215" t="s">
        <v>339</v>
      </c>
      <c r="D117" s="261">
        <v>2</v>
      </c>
      <c r="E117" s="411" t="s">
        <v>332</v>
      </c>
      <c r="F117" s="393"/>
      <c r="G117" s="376"/>
      <c r="H117" s="261"/>
      <c r="I117" s="299"/>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17.25" customHeight="1">
      <c r="A118" s="365"/>
      <c r="B118" s="404"/>
      <c r="C118" s="215"/>
      <c r="D118" s="287"/>
      <c r="E118" s="417"/>
      <c r="F118" s="395"/>
      <c r="G118" s="377"/>
      <c r="H118" s="158"/>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9.5" customHeight="1">
      <c r="A119" s="229" t="s">
        <v>20</v>
      </c>
      <c r="B119" s="220">
        <f>SUM(B117)</f>
        <v>0</v>
      </c>
      <c r="C119" s="146"/>
      <c r="D119" s="221">
        <f>SUM(D117:D118)</f>
        <v>2</v>
      </c>
      <c r="E119" s="412"/>
      <c r="F119" s="159">
        <f>F117</f>
        <v>0</v>
      </c>
      <c r="G119" s="240"/>
      <c r="H119" s="158">
        <f>SUM(H117:H118)</f>
        <v>0</v>
      </c>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21" customHeight="1">
      <c r="A120" s="366" t="s">
        <v>59</v>
      </c>
      <c r="B120" s="402"/>
      <c r="C120" s="218"/>
      <c r="D120" s="261"/>
      <c r="E120" s="292"/>
      <c r="F120" s="393"/>
      <c r="G120" s="376"/>
      <c r="H120" s="259"/>
      <c r="I120" s="207"/>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15" customHeight="1">
      <c r="A121" s="367"/>
      <c r="B121" s="404"/>
      <c r="C121" s="215"/>
      <c r="D121" s="287"/>
      <c r="E121" s="214"/>
      <c r="F121" s="395"/>
      <c r="G121" s="377"/>
      <c r="H121" s="158"/>
      <c r="I121" s="158"/>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19.5" customHeight="1">
      <c r="A122" s="229" t="s">
        <v>20</v>
      </c>
      <c r="B122" s="220">
        <f>B120</f>
        <v>0</v>
      </c>
      <c r="C122" s="146"/>
      <c r="D122" s="221">
        <f>D120+D121</f>
        <v>0</v>
      </c>
      <c r="E122" s="261"/>
      <c r="F122" s="159">
        <f>F120</f>
        <v>0</v>
      </c>
      <c r="G122" s="240"/>
      <c r="H122" s="158">
        <f>SUM(H120:H121)</f>
        <v>0</v>
      </c>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24" customHeight="1">
      <c r="A123" s="366" t="s">
        <v>323</v>
      </c>
      <c r="B123" s="402"/>
      <c r="C123" s="387"/>
      <c r="D123" s="262"/>
      <c r="E123" s="280"/>
      <c r="F123" s="393"/>
      <c r="G123" s="405"/>
      <c r="H123" s="259"/>
      <c r="I123" s="207"/>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16.5" customHeight="1">
      <c r="A124" s="367"/>
      <c r="B124" s="404"/>
      <c r="C124" s="389"/>
      <c r="D124" s="287"/>
      <c r="E124" s="214"/>
      <c r="F124" s="395"/>
      <c r="G124" s="406"/>
      <c r="H124" s="158"/>
      <c r="I124" s="158"/>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21.75" customHeight="1">
      <c r="A125" s="229" t="s">
        <v>20</v>
      </c>
      <c r="B125" s="220">
        <f>B123</f>
        <v>0</v>
      </c>
      <c r="C125" s="146"/>
      <c r="D125" s="221">
        <f>D124+D123</f>
        <v>0</v>
      </c>
      <c r="E125" s="261"/>
      <c r="F125" s="159">
        <f>F123</f>
        <v>0</v>
      </c>
      <c r="G125" s="240"/>
      <c r="H125" s="158">
        <f>SUM(H123:H124)</f>
        <v>0</v>
      </c>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8.75" customHeight="1">
      <c r="A126" s="366" t="s">
        <v>60</v>
      </c>
      <c r="B126" s="402"/>
      <c r="C126" s="219"/>
      <c r="D126" s="287"/>
      <c r="E126" s="214"/>
      <c r="F126" s="393"/>
      <c r="G126" s="376"/>
      <c r="H126" s="261"/>
      <c r="I126" s="299"/>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5.75">
      <c r="A127" s="367"/>
      <c r="B127" s="404"/>
      <c r="C127" s="215"/>
      <c r="D127" s="261"/>
      <c r="E127" s="261"/>
      <c r="F127" s="395"/>
      <c r="G127" s="377"/>
      <c r="H127" s="158"/>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20.25" customHeight="1">
      <c r="A128" s="229" t="s">
        <v>20</v>
      </c>
      <c r="B128" s="220">
        <f>SUM(B126)</f>
        <v>0</v>
      </c>
      <c r="C128" s="146"/>
      <c r="D128" s="221">
        <f>D127+D126</f>
        <v>0</v>
      </c>
      <c r="E128" s="261"/>
      <c r="F128" s="159">
        <f>F126</f>
        <v>0</v>
      </c>
      <c r="G128" s="240"/>
      <c r="H128" s="158">
        <f>SUM(H126:H127)</f>
        <v>0</v>
      </c>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0.25" customHeight="1">
      <c r="A129" s="366" t="s">
        <v>61</v>
      </c>
      <c r="B129" s="402"/>
      <c r="C129" s="387"/>
      <c r="D129" s="287"/>
      <c r="E129" s="214"/>
      <c r="F129" s="393"/>
      <c r="G129" s="376"/>
      <c r="H129" s="259"/>
      <c r="I129" s="207"/>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0.75" customHeight="1" hidden="1">
      <c r="A130" s="372"/>
      <c r="B130" s="403"/>
      <c r="C130" s="389"/>
      <c r="D130" s="293"/>
      <c r="E130" s="293"/>
      <c r="F130" s="394"/>
      <c r="G130" s="386"/>
      <c r="H130" s="158"/>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20.25" customHeight="1">
      <c r="A131" s="367"/>
      <c r="B131" s="404"/>
      <c r="C131" s="215"/>
      <c r="D131" s="261"/>
      <c r="E131" s="280"/>
      <c r="F131" s="395"/>
      <c r="G131" s="377"/>
      <c r="H131" s="158"/>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19.5" customHeight="1">
      <c r="A132" s="229" t="s">
        <v>20</v>
      </c>
      <c r="B132" s="220">
        <f>SUM(B129)</f>
        <v>0</v>
      </c>
      <c r="C132" s="146"/>
      <c r="D132" s="221">
        <f>SUM(D129:D131)</f>
        <v>0</v>
      </c>
      <c r="E132" s="261"/>
      <c r="F132" s="159">
        <f>F129</f>
        <v>0</v>
      </c>
      <c r="G132" s="240"/>
      <c r="H132" s="158">
        <f>SUM(H129:H131)</f>
        <v>0</v>
      </c>
      <c r="I132" s="158"/>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25.5" customHeight="1">
      <c r="A133" s="365" t="s">
        <v>62</v>
      </c>
      <c r="B133" s="408"/>
      <c r="C133" s="217"/>
      <c r="D133" s="287">
        <v>3629.28</v>
      </c>
      <c r="E133" s="411" t="s">
        <v>341</v>
      </c>
      <c r="F133" s="393"/>
      <c r="G133" s="376"/>
      <c r="H133" s="259"/>
      <c r="I133" s="207"/>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19.5" customHeight="1">
      <c r="A134" s="365"/>
      <c r="B134" s="408"/>
      <c r="C134" s="215"/>
      <c r="D134" s="261"/>
      <c r="E134" s="417"/>
      <c r="F134" s="395"/>
      <c r="G134" s="377"/>
      <c r="H134" s="158"/>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1" customHeight="1">
      <c r="A135" s="229" t="s">
        <v>20</v>
      </c>
      <c r="B135" s="220">
        <f>SUM(B133)</f>
        <v>0</v>
      </c>
      <c r="C135" s="146"/>
      <c r="D135" s="221">
        <f>SUM(D133:D134)</f>
        <v>3629.28</v>
      </c>
      <c r="E135" s="412"/>
      <c r="F135" s="159">
        <f>F133</f>
        <v>0</v>
      </c>
      <c r="G135" s="240"/>
      <c r="H135" s="158">
        <f>SUM(H133:H134)</f>
        <v>0</v>
      </c>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27.75" customHeight="1">
      <c r="A136" s="366" t="s">
        <v>46</v>
      </c>
      <c r="B136" s="402"/>
      <c r="C136" s="218"/>
      <c r="D136" s="261"/>
      <c r="E136" s="280"/>
      <c r="F136" s="393"/>
      <c r="G136" s="376"/>
      <c r="H136" s="259"/>
      <c r="I136" s="207"/>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8" customHeight="1">
      <c r="A137" s="367"/>
      <c r="B137" s="404"/>
      <c r="C137" s="302"/>
      <c r="D137" s="261"/>
      <c r="E137" s="262"/>
      <c r="F137" s="395"/>
      <c r="G137" s="377"/>
      <c r="H137" s="158"/>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8.75" customHeight="1">
      <c r="A138" s="229" t="s">
        <v>20</v>
      </c>
      <c r="B138" s="220">
        <f>B136</f>
        <v>0</v>
      </c>
      <c r="C138" s="146"/>
      <c r="D138" s="221">
        <f>D137+D136</f>
        <v>0</v>
      </c>
      <c r="E138" s="220"/>
      <c r="F138" s="159">
        <f>F136</f>
        <v>0</v>
      </c>
      <c r="G138" s="240"/>
      <c r="H138" s="158">
        <f>SUM(H136:H137)</f>
        <v>0</v>
      </c>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22.5" customHeight="1">
      <c r="A139" s="366" t="s">
        <v>63</v>
      </c>
      <c r="B139" s="402">
        <v>6799</v>
      </c>
      <c r="C139" s="215" t="s">
        <v>340</v>
      </c>
      <c r="D139" s="261">
        <v>1</v>
      </c>
      <c r="E139" s="411" t="s">
        <v>332</v>
      </c>
      <c r="F139" s="393"/>
      <c r="G139" s="376"/>
      <c r="H139" s="158"/>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18.75" customHeight="1">
      <c r="A140" s="367"/>
      <c r="B140" s="404"/>
      <c r="C140" s="215"/>
      <c r="D140" s="287"/>
      <c r="E140" s="417"/>
      <c r="F140" s="395"/>
      <c r="G140" s="377"/>
      <c r="H140" s="261"/>
      <c r="I140" s="301"/>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23.25" customHeight="1">
      <c r="A141" s="229" t="s">
        <v>20</v>
      </c>
      <c r="B141" s="220">
        <f>B139</f>
        <v>6799</v>
      </c>
      <c r="C141" s="146"/>
      <c r="D141" s="221">
        <f>D140+D139</f>
        <v>1</v>
      </c>
      <c r="E141" s="412"/>
      <c r="F141" s="159">
        <f>F139</f>
        <v>0</v>
      </c>
      <c r="G141" s="240"/>
      <c r="H141" s="158">
        <f>SUM(H139:H140)</f>
        <v>0</v>
      </c>
      <c r="I141" s="158"/>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24" customHeight="1">
      <c r="A142" s="228" t="s">
        <v>111</v>
      </c>
      <c r="B142" s="220"/>
      <c r="C142" s="146"/>
      <c r="D142" s="221"/>
      <c r="E142" s="220"/>
      <c r="F142" s="162"/>
      <c r="G142" s="240"/>
      <c r="H142" s="152"/>
      <c r="I142" s="207"/>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23.25" customHeight="1">
      <c r="A143" s="229" t="s">
        <v>20</v>
      </c>
      <c r="B143" s="220">
        <v>0</v>
      </c>
      <c r="C143" s="146"/>
      <c r="D143" s="221">
        <v>0</v>
      </c>
      <c r="E143" s="220"/>
      <c r="F143" s="159">
        <v>0</v>
      </c>
      <c r="G143" s="240"/>
      <c r="H143" s="250">
        <f>SUM(H142)</f>
        <v>0</v>
      </c>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1.75" customHeight="1">
      <c r="A144" s="157" t="s">
        <v>272</v>
      </c>
      <c r="B144" s="261"/>
      <c r="C144" s="215"/>
      <c r="D144" s="287"/>
      <c r="E144" s="214"/>
      <c r="F144" s="156"/>
      <c r="G144" s="240"/>
      <c r="H144" s="259"/>
      <c r="I144" s="207"/>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4.75" customHeight="1">
      <c r="A145" s="229" t="s">
        <v>20</v>
      </c>
      <c r="B145" s="220">
        <f>B144</f>
        <v>0</v>
      </c>
      <c r="C145" s="146"/>
      <c r="D145" s="221">
        <f>D144</f>
        <v>0</v>
      </c>
      <c r="E145" s="220"/>
      <c r="F145" s="159"/>
      <c r="G145" s="240"/>
      <c r="H145" s="158">
        <f>H144</f>
        <v>0</v>
      </c>
      <c r="I145" s="158"/>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72" customHeight="1">
      <c r="A146" s="157" t="s">
        <v>54</v>
      </c>
      <c r="B146" s="261"/>
      <c r="C146" s="215" t="s">
        <v>331</v>
      </c>
      <c r="D146" s="287">
        <v>1</v>
      </c>
      <c r="E146" s="214" t="s">
        <v>332</v>
      </c>
      <c r="F146" s="156"/>
      <c r="G146" s="240"/>
      <c r="H146" s="259"/>
      <c r="I146" s="207"/>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20.25" customHeight="1">
      <c r="A147" s="229" t="s">
        <v>20</v>
      </c>
      <c r="B147" s="220">
        <f>B146</f>
        <v>0</v>
      </c>
      <c r="C147" s="146"/>
      <c r="D147" s="221">
        <f>D146</f>
        <v>1</v>
      </c>
      <c r="E147" s="220"/>
      <c r="F147" s="159"/>
      <c r="G147" s="240"/>
      <c r="H147" s="158">
        <f>H146</f>
        <v>0</v>
      </c>
      <c r="I147" s="158"/>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30.75" customHeight="1">
      <c r="A148" s="157" t="s">
        <v>66</v>
      </c>
      <c r="B148" s="261"/>
      <c r="C148" s="215"/>
      <c r="D148" s="287"/>
      <c r="E148" s="214"/>
      <c r="F148" s="156"/>
      <c r="G148" s="240"/>
      <c r="H148" s="259"/>
      <c r="I148" s="207"/>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23.25" customHeight="1">
      <c r="A149" s="229" t="s">
        <v>20</v>
      </c>
      <c r="B149" s="220">
        <f>B148</f>
        <v>0</v>
      </c>
      <c r="C149" s="146"/>
      <c r="D149" s="221">
        <f>D148</f>
        <v>0</v>
      </c>
      <c r="E149" s="220"/>
      <c r="F149" s="159"/>
      <c r="G149" s="240"/>
      <c r="H149" s="158">
        <f>H148</f>
        <v>0</v>
      </c>
      <c r="I149" s="158"/>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36" customHeight="1">
      <c r="A150" s="228" t="s">
        <v>319</v>
      </c>
      <c r="B150" s="220"/>
      <c r="C150" s="146"/>
      <c r="D150" s="287"/>
      <c r="E150" s="214"/>
      <c r="F150" s="159"/>
      <c r="G150" s="240"/>
      <c r="H150" s="259"/>
      <c r="I150" s="207"/>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29.25" customHeight="1">
      <c r="A151" s="229" t="s">
        <v>20</v>
      </c>
      <c r="B151" s="220">
        <f>B150</f>
        <v>0</v>
      </c>
      <c r="C151" s="146"/>
      <c r="D151" s="221">
        <f>D150</f>
        <v>0</v>
      </c>
      <c r="E151" s="220"/>
      <c r="F151" s="159"/>
      <c r="G151" s="240"/>
      <c r="H151" s="158">
        <f>H150</f>
        <v>0</v>
      </c>
      <c r="I151" s="158"/>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84" customHeight="1">
      <c r="A152" s="157" t="s">
        <v>317</v>
      </c>
      <c r="B152" s="261"/>
      <c r="C152" s="215" t="s">
        <v>334</v>
      </c>
      <c r="D152" s="286">
        <v>1600</v>
      </c>
      <c r="E152" s="214" t="s">
        <v>333</v>
      </c>
      <c r="F152" s="156"/>
      <c r="G152" s="240"/>
      <c r="H152" s="259"/>
      <c r="I152" s="207"/>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24.75" customHeight="1">
      <c r="A153" s="229" t="s">
        <v>20</v>
      </c>
      <c r="B153" s="220">
        <f>SUM(B152)</f>
        <v>0</v>
      </c>
      <c r="C153" s="146"/>
      <c r="D153" s="221">
        <f>D152</f>
        <v>1600</v>
      </c>
      <c r="E153" s="220"/>
      <c r="F153" s="159"/>
      <c r="G153" s="240"/>
      <c r="H153" s="158">
        <f>H152</f>
        <v>0</v>
      </c>
      <c r="I153" s="158"/>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7.75" customHeight="1">
      <c r="A154" s="157" t="s">
        <v>64</v>
      </c>
      <c r="B154" s="261">
        <v>2496</v>
      </c>
      <c r="C154" s="215" t="s">
        <v>342</v>
      </c>
      <c r="D154" s="287"/>
      <c r="E154" s="214"/>
      <c r="F154" s="156"/>
      <c r="G154" s="240"/>
      <c r="H154" s="259"/>
      <c r="I154" s="207"/>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23.25" customHeight="1">
      <c r="A155" s="229" t="s">
        <v>20</v>
      </c>
      <c r="B155" s="220">
        <f>B154</f>
        <v>2496</v>
      </c>
      <c r="C155" s="146"/>
      <c r="D155" s="221">
        <f>D154</f>
        <v>0</v>
      </c>
      <c r="E155" s="220"/>
      <c r="F155" s="159"/>
      <c r="G155" s="240"/>
      <c r="H155" s="158">
        <f>H154</f>
        <v>0</v>
      </c>
      <c r="I155" s="158"/>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24" customHeight="1">
      <c r="A156" s="366" t="s">
        <v>315</v>
      </c>
      <c r="B156" s="402"/>
      <c r="C156" s="361"/>
      <c r="D156" s="287"/>
      <c r="E156" s="214"/>
      <c r="F156" s="156"/>
      <c r="G156" s="240"/>
      <c r="H156" s="259"/>
      <c r="I156" s="207"/>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19.5" customHeight="1">
      <c r="A157" s="372"/>
      <c r="B157" s="403"/>
      <c r="C157" s="375"/>
      <c r="D157" s="261"/>
      <c r="E157" s="276"/>
      <c r="F157" s="156"/>
      <c r="G157" s="240"/>
      <c r="H157" s="158"/>
      <c r="I157" s="158"/>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4" customHeight="1">
      <c r="A158" s="267" t="s">
        <v>20</v>
      </c>
      <c r="B158" s="220">
        <f>B156</f>
        <v>0</v>
      </c>
      <c r="C158" s="362"/>
      <c r="D158" s="220">
        <f>D156+D157</f>
        <v>0</v>
      </c>
      <c r="E158" s="289"/>
      <c r="F158" s="156"/>
      <c r="G158" s="240"/>
      <c r="H158" s="158">
        <f>H156+H157</f>
        <v>0</v>
      </c>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30" customHeight="1">
      <c r="A159" s="157" t="s">
        <v>318</v>
      </c>
      <c r="B159" s="261"/>
      <c r="C159" s="215"/>
      <c r="D159" s="286"/>
      <c r="E159" s="214"/>
      <c r="F159" s="156"/>
      <c r="G159" s="240"/>
      <c r="H159" s="152"/>
      <c r="I159" s="207"/>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24.75" customHeight="1" thickBot="1">
      <c r="A160" s="229" t="s">
        <v>20</v>
      </c>
      <c r="B160" s="238">
        <f>B159</f>
        <v>0</v>
      </c>
      <c r="C160" s="146"/>
      <c r="D160" s="294">
        <f>D159</f>
        <v>0</v>
      </c>
      <c r="E160" s="220"/>
      <c r="F160" s="159"/>
      <c r="G160" s="240"/>
      <c r="H160" s="250">
        <f>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69" customFormat="1" ht="60.75" customHeight="1" thickBot="1">
      <c r="A161" s="253" t="s">
        <v>324</v>
      </c>
      <c r="B161" s="220">
        <f>SUM(B151+B66+B69+B72+B76+B79+B83+B86+B99+B102+B105+B109+B112+B158+B116+B119+B122+B125+B128+B132+B135+B138+B141+B145+B147+B149+B153+B155+B160)</f>
        <v>9820.7</v>
      </c>
      <c r="C161" s="220"/>
      <c r="D161" s="220">
        <f>SUM(D151+D66+D69+D72+D76+D158+D79+D83+D86+D99+D102+D105+D109+D112+D116+D119+D122+D125+D128+D132+D135+D138+D141+D145+D147+D149+D153+D155+D160)</f>
        <v>5233.280000000001</v>
      </c>
      <c r="E161" s="220">
        <f>SUM(E151+E66+E69+E72+E76+E158+E79+E83+E86+E99+E102+E105+E109+E112+E116+E119+E122+E125+E128+E132+E135+E138+E141+E145+E147+E149+E153+E155+E160)</f>
        <v>0</v>
      </c>
      <c r="F161" s="220">
        <f>SUM(F151+F66+F69+F72+F76+F158+F79+F83+F86+F99+F102+F105+F109+F112+F116+F119+F122+F125+F128+F132+F135+F138+F141+F145+F147+F149+F153+F155+F160)</f>
        <v>0</v>
      </c>
      <c r="G161" s="220">
        <f>SUM(G151+G66+G69+G72+G76+G158+G79+G83+G86+G99+G102+G105+G109+G112+G116+G119+G122+G125+G128+G132+G135+G138+G141+G145+G147+G149+G153+G155+G160)</f>
        <v>0</v>
      </c>
      <c r="H161" s="220">
        <f>SUM(H151+H66+H69+H72+H76+H158+H79+H83+H86+H99+H102+H105+H109+H112+H116+H119+H122+H125+H128+H132+H135+H138+H141+H145+H147+H149+H153+H155+H160)+H143</f>
        <v>0</v>
      </c>
      <c r="I161" s="220">
        <f>SUM(I151+I66+I69+I72+I76+I158+I79+I83+I86+I99+I102+I105+I109+I112+I116+I119+I122+I125+I128+I132+I135+I138+I141+I145+I147+I149+I153+I155+I160)</f>
        <v>0</v>
      </c>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row>
    <row r="162" spans="1:114" s="269" customFormat="1" ht="79.5" customHeight="1" thickBot="1">
      <c r="A162" s="229" t="s">
        <v>325</v>
      </c>
      <c r="B162" s="221">
        <f>SUM(B63+B161)</f>
        <v>125516.44000000002</v>
      </c>
      <c r="C162" s="221"/>
      <c r="D162" s="221">
        <f aca="true" t="shared" si="0" ref="D162:I162">D161+D63</f>
        <v>5233.280000000001</v>
      </c>
      <c r="E162" s="221">
        <f t="shared" si="0"/>
        <v>0</v>
      </c>
      <c r="F162" s="221">
        <f t="shared" si="0"/>
        <v>0</v>
      </c>
      <c r="G162" s="221">
        <f t="shared" si="0"/>
        <v>0</v>
      </c>
      <c r="H162" s="221">
        <f t="shared" si="0"/>
        <v>0</v>
      </c>
      <c r="I162" s="221">
        <f t="shared" si="0"/>
        <v>0</v>
      </c>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row>
    <row r="163" spans="1:114" s="272" customFormat="1" ht="9.75" customHeight="1" hidden="1">
      <c r="A163" s="222"/>
      <c r="B163" s="270"/>
      <c r="C163" s="222"/>
      <c r="D163" s="295"/>
      <c r="E163" s="273"/>
      <c r="F163" s="271"/>
      <c r="G163" s="271"/>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row>
    <row r="164" spans="1:114" s="272" customFormat="1" ht="33" customHeight="1">
      <c r="A164" s="223" t="s">
        <v>326</v>
      </c>
      <c r="B164" s="273"/>
      <c r="C164" s="223"/>
      <c r="D164" s="295"/>
      <c r="E164" s="273" t="s">
        <v>34</v>
      </c>
      <c r="F164" s="271"/>
      <c r="G164" s="223" t="s">
        <v>343</v>
      </c>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row>
    <row r="165" spans="1:9" ht="20.25" customHeight="1">
      <c r="A165" s="222" t="s">
        <v>35</v>
      </c>
      <c r="B165" s="270"/>
      <c r="C165" s="224"/>
      <c r="D165" s="296"/>
      <c r="E165" s="300"/>
      <c r="F165" s="222"/>
      <c r="G165" s="222" t="s">
        <v>344</v>
      </c>
      <c r="H165" s="182"/>
      <c r="I165" s="182"/>
    </row>
    <row r="166" spans="1:10" ht="20.25" customHeight="1">
      <c r="A166" s="224" t="s">
        <v>345</v>
      </c>
      <c r="B166" s="224"/>
      <c r="C166" s="224"/>
      <c r="D166" s="295"/>
      <c r="E166" s="298"/>
      <c r="F166" s="274"/>
      <c r="G166" s="274"/>
      <c r="H166" s="182"/>
      <c r="I166" s="246"/>
      <c r="J166" s="182" t="s">
        <v>327</v>
      </c>
    </row>
    <row r="167" spans="1:9" ht="20.25" customHeight="1">
      <c r="A167" s="224" t="s">
        <v>346</v>
      </c>
      <c r="B167" s="224"/>
      <c r="C167" s="224"/>
      <c r="D167" s="295"/>
      <c r="E167" s="298"/>
      <c r="F167" s="274"/>
      <c r="G167" s="274"/>
      <c r="H167" s="182"/>
      <c r="I167" s="182"/>
    </row>
    <row r="168" spans="1:9" ht="12" customHeight="1">
      <c r="A168" s="182"/>
      <c r="B168" s="225"/>
      <c r="C168" s="225"/>
      <c r="D168" s="297"/>
      <c r="E168" s="225"/>
      <c r="F168" s="182"/>
      <c r="G168" s="182"/>
      <c r="H168" s="182"/>
      <c r="I168" s="182"/>
    </row>
    <row r="169" spans="1:9" ht="15.75">
      <c r="A169" s="182"/>
      <c r="B169" s="225"/>
      <c r="C169" s="225"/>
      <c r="D169" s="297"/>
      <c r="E169" s="225"/>
      <c r="F169" s="182"/>
      <c r="G169" s="182"/>
      <c r="H169" s="182"/>
      <c r="I169" s="182"/>
    </row>
    <row r="170" spans="1:9" ht="15.75">
      <c r="A170" s="182"/>
      <c r="B170" s="225"/>
      <c r="C170" s="225"/>
      <c r="D170" s="297"/>
      <c r="E170" s="225"/>
      <c r="F170" s="182"/>
      <c r="G170" s="182"/>
      <c r="H170" s="182"/>
      <c r="I170" s="182"/>
    </row>
  </sheetData>
  <sheetProtection/>
  <mergeCells count="165">
    <mergeCell ref="A139:A140"/>
    <mergeCell ref="B139:B140"/>
    <mergeCell ref="E139:E141"/>
    <mergeCell ref="F139:F140"/>
    <mergeCell ref="G139:G140"/>
    <mergeCell ref="A156:A157"/>
    <mergeCell ref="B156:B157"/>
    <mergeCell ref="C156:C158"/>
    <mergeCell ref="A133:A134"/>
    <mergeCell ref="B133:B134"/>
    <mergeCell ref="E133:E135"/>
    <mergeCell ref="F133:F134"/>
    <mergeCell ref="G133:G134"/>
    <mergeCell ref="A136:A137"/>
    <mergeCell ref="B136:B137"/>
    <mergeCell ref="F136:F137"/>
    <mergeCell ref="G136:G137"/>
    <mergeCell ref="A126:A127"/>
    <mergeCell ref="B126:B127"/>
    <mergeCell ref="F126:F127"/>
    <mergeCell ref="G126:G127"/>
    <mergeCell ref="A129:A131"/>
    <mergeCell ref="B129:B131"/>
    <mergeCell ref="C129:C130"/>
    <mergeCell ref="F129:F131"/>
    <mergeCell ref="G129:G131"/>
    <mergeCell ref="A120:A121"/>
    <mergeCell ref="B120:B121"/>
    <mergeCell ref="F120:F121"/>
    <mergeCell ref="G120:G121"/>
    <mergeCell ref="A123:A124"/>
    <mergeCell ref="B123:B124"/>
    <mergeCell ref="C123:C124"/>
    <mergeCell ref="F123:F124"/>
    <mergeCell ref="G123:G124"/>
    <mergeCell ref="A113:A115"/>
    <mergeCell ref="B113:B115"/>
    <mergeCell ref="F113:F115"/>
    <mergeCell ref="G113:G115"/>
    <mergeCell ref="C114:C115"/>
    <mergeCell ref="A117:A118"/>
    <mergeCell ref="B117:B118"/>
    <mergeCell ref="E117:E119"/>
    <mergeCell ref="F117:F118"/>
    <mergeCell ref="G117:G118"/>
    <mergeCell ref="A106:A108"/>
    <mergeCell ref="B106:B108"/>
    <mergeCell ref="F106:F108"/>
    <mergeCell ref="G106:G108"/>
    <mergeCell ref="C107:C108"/>
    <mergeCell ref="A110:A111"/>
    <mergeCell ref="B110:B111"/>
    <mergeCell ref="C110:C111"/>
    <mergeCell ref="F110:F111"/>
    <mergeCell ref="G110:G111"/>
    <mergeCell ref="A100:A101"/>
    <mergeCell ref="B100:B101"/>
    <mergeCell ref="F100:F101"/>
    <mergeCell ref="G100:G101"/>
    <mergeCell ref="A103:A104"/>
    <mergeCell ref="B103:B104"/>
    <mergeCell ref="C103:C104"/>
    <mergeCell ref="F103:F104"/>
    <mergeCell ref="G103:G104"/>
    <mergeCell ref="A84:A85"/>
    <mergeCell ref="B84:B85"/>
    <mergeCell ref="C84:C86"/>
    <mergeCell ref="F84:F85"/>
    <mergeCell ref="G84:G85"/>
    <mergeCell ref="A97:A98"/>
    <mergeCell ref="B97:B98"/>
    <mergeCell ref="C97:C99"/>
    <mergeCell ref="F97:F98"/>
    <mergeCell ref="G97:G98"/>
    <mergeCell ref="A77:A78"/>
    <mergeCell ref="B77:B78"/>
    <mergeCell ref="C77:C78"/>
    <mergeCell ref="F77:F78"/>
    <mergeCell ref="G77:G78"/>
    <mergeCell ref="A80:A82"/>
    <mergeCell ref="B80:B82"/>
    <mergeCell ref="C80:C81"/>
    <mergeCell ref="F80:F82"/>
    <mergeCell ref="G80:G82"/>
    <mergeCell ref="A70:A71"/>
    <mergeCell ref="B70:B71"/>
    <mergeCell ref="C70:C71"/>
    <mergeCell ref="F70:F71"/>
    <mergeCell ref="G70:G71"/>
    <mergeCell ref="A73:A75"/>
    <mergeCell ref="B73:B75"/>
    <mergeCell ref="F73:F75"/>
    <mergeCell ref="G73:G75"/>
    <mergeCell ref="C74:C75"/>
    <mergeCell ref="A64:A65"/>
    <mergeCell ref="B64:B65"/>
    <mergeCell ref="C64:C66"/>
    <mergeCell ref="A67:A68"/>
    <mergeCell ref="B67:B68"/>
    <mergeCell ref="C67:C69"/>
    <mergeCell ref="A57:A58"/>
    <mergeCell ref="B57:B58"/>
    <mergeCell ref="A60:A61"/>
    <mergeCell ref="B60:B61"/>
    <mergeCell ref="C57:C58"/>
    <mergeCell ref="C60:C61"/>
    <mergeCell ref="A51:A52"/>
    <mergeCell ref="B51:B52"/>
    <mergeCell ref="C51:C52"/>
    <mergeCell ref="A54:A55"/>
    <mergeCell ref="B54:B55"/>
    <mergeCell ref="C54:C56"/>
    <mergeCell ref="A45:A46"/>
    <mergeCell ref="B45:B46"/>
    <mergeCell ref="C45:C46"/>
    <mergeCell ref="A48:A49"/>
    <mergeCell ref="B48:B49"/>
    <mergeCell ref="C48:C49"/>
    <mergeCell ref="A39:A40"/>
    <mergeCell ref="B39:B40"/>
    <mergeCell ref="C39:C40"/>
    <mergeCell ref="A42:A43"/>
    <mergeCell ref="B42:B43"/>
    <mergeCell ref="C42:C44"/>
    <mergeCell ref="A33:A34"/>
    <mergeCell ref="B33:B34"/>
    <mergeCell ref="C33:C34"/>
    <mergeCell ref="A36:A37"/>
    <mergeCell ref="B36:B37"/>
    <mergeCell ref="C36:C38"/>
    <mergeCell ref="G26:G27"/>
    <mergeCell ref="H26:H27"/>
    <mergeCell ref="I26:I27"/>
    <mergeCell ref="A30:A31"/>
    <mergeCell ref="B30:B31"/>
    <mergeCell ref="C30:C31"/>
    <mergeCell ref="A26:A28"/>
    <mergeCell ref="B26:B28"/>
    <mergeCell ref="C26:C28"/>
    <mergeCell ref="D26:D27"/>
    <mergeCell ref="E26:E27"/>
    <mergeCell ref="F26:F27"/>
    <mergeCell ref="A20:A21"/>
    <mergeCell ref="B20:B21"/>
    <mergeCell ref="C20:C21"/>
    <mergeCell ref="A23:A24"/>
    <mergeCell ref="B23:B24"/>
    <mergeCell ref="C23:C24"/>
    <mergeCell ref="H9:I10"/>
    <mergeCell ref="A12:A13"/>
    <mergeCell ref="B12:B13"/>
    <mergeCell ref="C12:C13"/>
    <mergeCell ref="A15:A16"/>
    <mergeCell ref="B15:B16"/>
    <mergeCell ref="C15:C16"/>
    <mergeCell ref="G4:I4"/>
    <mergeCell ref="A5:I5"/>
    <mergeCell ref="A6:I6"/>
    <mergeCell ref="A7:I7"/>
    <mergeCell ref="A8:A11"/>
    <mergeCell ref="B8:E8"/>
    <mergeCell ref="F8:I8"/>
    <mergeCell ref="B9:C10"/>
    <mergeCell ref="D9:E10"/>
    <mergeCell ref="F9:G10"/>
  </mergeCells>
  <printOptions/>
  <pageMargins left="0.11811023622047245" right="0.11811023622047245" top="0.1968503937007874" bottom="0.1968503937007874"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DJ187"/>
  <sheetViews>
    <sheetView zoomScalePageLayoutView="0" workbookViewId="0" topLeftCell="A8">
      <pane xSplit="3" ySplit="4" topLeftCell="D172" activePane="bottomRight" state="frozen"/>
      <selection pane="topLeft" activeCell="A8" sqref="A8"/>
      <selection pane="topRight" activeCell="D8" sqref="D8"/>
      <selection pane="bottomLeft" activeCell="A12" sqref="A12"/>
      <selection pane="bottomRight" activeCell="B179" sqref="B179:D179"/>
    </sheetView>
  </sheetViews>
  <sheetFormatPr defaultColWidth="25.7109375" defaultRowHeight="15"/>
  <cols>
    <col min="1" max="1" width="14.28125" style="4" customWidth="1"/>
    <col min="2" max="2" width="12.57421875" style="226" customWidth="1"/>
    <col min="3" max="3" width="34.421875" style="226" customWidth="1"/>
    <col min="4" max="4" width="11.57421875" style="275" customWidth="1"/>
    <col min="5" max="5" width="22.7109375" style="226" customWidth="1"/>
    <col min="6" max="6" width="9.28125" style="4" customWidth="1"/>
    <col min="7" max="7" width="8.8515625" style="4" customWidth="1"/>
    <col min="8" max="8" width="9.28125" style="4" customWidth="1"/>
    <col min="9" max="9" width="10.42187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406</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375</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33.75" customHeight="1">
      <c r="A15" s="365" t="s">
        <v>376</v>
      </c>
      <c r="B15" s="359">
        <f>776.6+847.8+13872</f>
        <v>15496.4</v>
      </c>
      <c r="C15" s="361" t="s">
        <v>384</v>
      </c>
      <c r="D15" s="262">
        <v>783</v>
      </c>
      <c r="E15" s="276" t="s">
        <v>373</v>
      </c>
      <c r="F15" s="236"/>
      <c r="G15" s="230"/>
      <c r="H15" s="228"/>
      <c r="I15" s="213"/>
      <c r="J15" s="235"/>
      <c r="K15" s="246"/>
    </row>
    <row r="16" spans="1:11" ht="13.5" customHeight="1">
      <c r="A16" s="365"/>
      <c r="B16" s="360"/>
      <c r="C16" s="362"/>
      <c r="D16" s="262"/>
      <c r="E16" s="261"/>
      <c r="F16" s="236"/>
      <c r="G16" s="230"/>
      <c r="H16" s="228"/>
      <c r="I16" s="228"/>
      <c r="J16" s="235"/>
      <c r="K16" s="246"/>
    </row>
    <row r="17" spans="1:114" s="245" customFormat="1" ht="22.5" customHeight="1">
      <c r="A17" s="229" t="s">
        <v>19</v>
      </c>
      <c r="B17" s="238">
        <f>SUM(B15)</f>
        <v>15496.4</v>
      </c>
      <c r="C17" s="215"/>
      <c r="D17" s="266">
        <f>D16+D15</f>
        <v>783</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65" t="s">
        <v>377</v>
      </c>
      <c r="B18" s="306">
        <v>670</v>
      </c>
      <c r="C18" s="215" t="s">
        <v>417</v>
      </c>
      <c r="D18" s="214">
        <v>11557.3</v>
      </c>
      <c r="E18" s="313" t="s">
        <v>412</v>
      </c>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365"/>
      <c r="B19" s="238">
        <f>SUM(B18)</f>
        <v>670</v>
      </c>
      <c r="C19" s="303"/>
      <c r="D19" s="279">
        <f>D18</f>
        <v>11557.3</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32.25" customHeight="1">
      <c r="A20" s="366" t="s">
        <v>378</v>
      </c>
      <c r="B20" s="359">
        <f>537+3249.47+3550</f>
        <v>7336.469999999999</v>
      </c>
      <c r="C20" s="361" t="s">
        <v>367</v>
      </c>
      <c r="D20" s="214"/>
      <c r="E20" s="276"/>
      <c r="F20" s="236"/>
      <c r="G20" s="230"/>
      <c r="H20" s="228"/>
      <c r="I20" s="213"/>
      <c r="J20" s="235"/>
      <c r="K20" s="246"/>
    </row>
    <row r="21" spans="1:11" ht="33.75" customHeight="1">
      <c r="A21" s="367"/>
      <c r="B21" s="360"/>
      <c r="C21" s="416"/>
      <c r="D21" s="249"/>
      <c r="E21" s="261"/>
      <c r="F21" s="236"/>
      <c r="G21" s="230"/>
      <c r="H21" s="228"/>
      <c r="I21" s="228"/>
      <c r="J21" s="235"/>
      <c r="K21" s="246"/>
    </row>
    <row r="22" spans="1:114" s="245" customFormat="1" ht="28.5" customHeight="1">
      <c r="A22" s="229" t="s">
        <v>20</v>
      </c>
      <c r="B22" s="238">
        <f>B20</f>
        <v>7336.469999999999</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50.25" customHeight="1">
      <c r="A23" s="366" t="s">
        <v>379</v>
      </c>
      <c r="B23" s="359">
        <v>2940</v>
      </c>
      <c r="C23" s="361" t="s">
        <v>416</v>
      </c>
      <c r="D23" s="262">
        <v>610</v>
      </c>
      <c r="E23" s="313" t="s">
        <v>412</v>
      </c>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610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24" customHeight="1">
      <c r="A26" s="366" t="s">
        <v>380</v>
      </c>
      <c r="B26" s="359">
        <v>697</v>
      </c>
      <c r="C26" s="361" t="s">
        <v>418</v>
      </c>
      <c r="D26" s="357">
        <v>23114.6</v>
      </c>
      <c r="E26" s="415" t="s">
        <v>412</v>
      </c>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415"/>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23114.6</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381</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80.25" customHeight="1">
      <c r="A33" s="365" t="s">
        <v>382</v>
      </c>
      <c r="B33" s="369">
        <f>24050+1000</f>
        <v>25050</v>
      </c>
      <c r="C33" s="370" t="s">
        <v>419</v>
      </c>
      <c r="D33" s="262">
        <v>783</v>
      </c>
      <c r="E33" s="214" t="s">
        <v>373</v>
      </c>
      <c r="F33" s="251"/>
      <c r="G33" s="230"/>
      <c r="H33" s="207"/>
      <c r="I33" s="207"/>
      <c r="J33" s="235"/>
    </row>
    <row r="34" spans="1:10" ht="37.5" customHeight="1">
      <c r="A34" s="365"/>
      <c r="B34" s="369"/>
      <c r="C34" s="370"/>
      <c r="D34" s="262">
        <v>17335.95</v>
      </c>
      <c r="E34" s="315" t="s">
        <v>412</v>
      </c>
      <c r="F34" s="251"/>
      <c r="G34" s="230"/>
      <c r="H34" s="207"/>
      <c r="I34" s="207"/>
      <c r="J34" s="235"/>
    </row>
    <row r="35" spans="1:114" s="245" customFormat="1" ht="27.75" customHeight="1">
      <c r="A35" s="229" t="s">
        <v>20</v>
      </c>
      <c r="B35" s="238">
        <f>SUM(B33:B34)</f>
        <v>25050</v>
      </c>
      <c r="C35" s="146"/>
      <c r="D35" s="221">
        <f>D34+D33</f>
        <v>18118.95</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3.25" customHeight="1">
      <c r="A36" s="365" t="s">
        <v>383</v>
      </c>
      <c r="B36" s="369">
        <f>179.8+747</f>
        <v>926.8</v>
      </c>
      <c r="C36" s="361" t="s">
        <v>420</v>
      </c>
      <c r="D36" s="411">
        <v>23114.6</v>
      </c>
      <c r="E36" s="413" t="s">
        <v>412</v>
      </c>
      <c r="F36" s="251"/>
      <c r="G36" s="230"/>
      <c r="H36" s="207"/>
      <c r="I36" s="207"/>
      <c r="J36" s="235"/>
    </row>
    <row r="37" spans="1:10" ht="26.25" customHeight="1">
      <c r="A37" s="365"/>
      <c r="B37" s="369"/>
      <c r="C37" s="375"/>
      <c r="D37" s="412"/>
      <c r="E37" s="414"/>
      <c r="F37" s="251"/>
      <c r="G37" s="230"/>
      <c r="H37" s="207"/>
      <c r="I37" s="207"/>
      <c r="J37" s="235"/>
    </row>
    <row r="38" spans="1:114" s="245" customFormat="1" ht="36" customHeight="1">
      <c r="A38" s="229" t="s">
        <v>20</v>
      </c>
      <c r="B38" s="238">
        <f>SUM(B36:B37)</f>
        <v>926.8</v>
      </c>
      <c r="C38" s="362"/>
      <c r="D38" s="221">
        <f>D37+D36</f>
        <v>23114.6</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73.5"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757+675+552</f>
        <v>1984</v>
      </c>
      <c r="C42" s="361" t="s">
        <v>368</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1984</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421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40.5" customHeight="1">
      <c r="A46" s="367"/>
      <c r="B46" s="360"/>
      <c r="C46" s="362"/>
      <c r="D46" s="214">
        <v>17335.95</v>
      </c>
      <c r="E46" s="316" t="s">
        <v>412</v>
      </c>
      <c r="F46" s="152"/>
      <c r="G46" s="230"/>
      <c r="H46" s="207"/>
      <c r="I46" s="207"/>
      <c r="J46" s="235"/>
    </row>
    <row r="47" spans="1:114" s="245" customFormat="1" ht="31.5" customHeight="1">
      <c r="A47" s="229" t="s">
        <v>20</v>
      </c>
      <c r="B47" s="238">
        <f>SUM(B45)</f>
        <v>1330</v>
      </c>
      <c r="C47" s="215"/>
      <c r="D47" s="220">
        <f>D46+D45</f>
        <v>17339.95</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123047.21000000002</v>
      </c>
      <c r="C63" s="147"/>
      <c r="D63" s="254">
        <f>D62+D59+D56+D53+D50+D47+D44+D41+D38+D35+D32+D29+D25+D22+D19+D17+D14</f>
        <v>94638.40000000001</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v>1470</v>
      </c>
      <c r="C64" s="361" t="s">
        <v>372</v>
      </c>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1470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v>1040</v>
      </c>
      <c r="C67" s="361" t="s">
        <v>372</v>
      </c>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1040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33.75" customHeight="1">
      <c r="A70" s="365" t="s">
        <v>386</v>
      </c>
      <c r="B70" s="369">
        <f>1960</f>
        <v>1960</v>
      </c>
      <c r="C70" s="387" t="s">
        <v>423</v>
      </c>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55.5" customHeight="1">
      <c r="A71" s="365"/>
      <c r="B71" s="369"/>
      <c r="C71" s="388"/>
      <c r="D71" s="262">
        <v>163682.46</v>
      </c>
      <c r="E71" s="314" t="s">
        <v>404</v>
      </c>
      <c r="F71" s="384"/>
      <c r="G71" s="386"/>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365"/>
      <c r="B72" s="369"/>
      <c r="C72" s="388"/>
      <c r="D72" s="262">
        <v>75366</v>
      </c>
      <c r="E72" s="313" t="s">
        <v>407</v>
      </c>
      <c r="F72" s="384"/>
      <c r="G72" s="386"/>
      <c r="H72" s="162"/>
      <c r="I72" s="213"/>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7.75" customHeight="1">
      <c r="A73" s="365"/>
      <c r="B73" s="369"/>
      <c r="C73" s="388"/>
      <c r="D73" s="262">
        <f>3096.64+7215+1282</f>
        <v>11593.64</v>
      </c>
      <c r="E73" s="262" t="s">
        <v>422</v>
      </c>
      <c r="F73" s="384"/>
      <c r="G73" s="386"/>
      <c r="H73" s="162"/>
      <c r="I73" s="213"/>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5.5" customHeight="1">
      <c r="A74" s="365"/>
      <c r="B74" s="369"/>
      <c r="C74" s="388"/>
      <c r="D74" s="262">
        <v>25080</v>
      </c>
      <c r="E74" s="314" t="s">
        <v>408</v>
      </c>
      <c r="F74" s="384"/>
      <c r="G74" s="386"/>
      <c r="H74" s="162"/>
      <c r="I74" s="213"/>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114" s="245" customFormat="1" ht="25.5" customHeight="1">
      <c r="A75" s="365"/>
      <c r="B75" s="369"/>
      <c r="C75" s="388"/>
      <c r="D75" s="262">
        <v>109200</v>
      </c>
      <c r="E75" s="314" t="s">
        <v>409</v>
      </c>
      <c r="F75" s="384"/>
      <c r="G75" s="386"/>
      <c r="H75" s="162"/>
      <c r="I75" s="213"/>
      <c r="J75" s="242"/>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row>
    <row r="76" spans="1:114" s="245" customFormat="1" ht="24.75" customHeight="1">
      <c r="A76" s="365"/>
      <c r="B76" s="369"/>
      <c r="C76" s="389"/>
      <c r="D76" s="261">
        <v>783</v>
      </c>
      <c r="E76" s="276" t="s">
        <v>373</v>
      </c>
      <c r="F76" s="385"/>
      <c r="G76" s="377"/>
      <c r="H76" s="162"/>
      <c r="I76" s="213"/>
      <c r="J76" s="242"/>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7.75" customHeight="1">
      <c r="A77" s="229" t="s">
        <v>20</v>
      </c>
      <c r="B77" s="238">
        <f>B70</f>
        <v>1960</v>
      </c>
      <c r="C77" s="146"/>
      <c r="D77" s="220">
        <f>SUM(D70:D76)</f>
        <v>385709.1</v>
      </c>
      <c r="E77" s="221"/>
      <c r="F77" s="250">
        <f>F70</f>
        <v>0</v>
      </c>
      <c r="G77" s="240"/>
      <c r="H77" s="159">
        <f>SUM(H70:H76)</f>
        <v>0</v>
      </c>
      <c r="I77" s="231"/>
      <c r="J77" s="242"/>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4" customHeight="1">
      <c r="A78" s="366" t="s">
        <v>38</v>
      </c>
      <c r="B78" s="359">
        <v>1980</v>
      </c>
      <c r="C78" s="387" t="s">
        <v>387</v>
      </c>
      <c r="D78" s="214"/>
      <c r="E78" s="214"/>
      <c r="F78" s="383"/>
      <c r="G78" s="376"/>
      <c r="H78" s="159"/>
      <c r="I78" s="231"/>
      <c r="J78" s="242"/>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1.75" customHeight="1">
      <c r="A79" s="372"/>
      <c r="B79" s="373"/>
      <c r="C79" s="388"/>
      <c r="D79" s="261"/>
      <c r="E79" s="276"/>
      <c r="F79" s="384"/>
      <c r="G79" s="386"/>
      <c r="H79" s="207"/>
      <c r="I79" s="207"/>
      <c r="J79" s="242"/>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9" ht="2.25" customHeight="1" hidden="1">
      <c r="A80" s="367"/>
      <c r="B80" s="360"/>
      <c r="C80" s="389"/>
      <c r="D80" s="261"/>
      <c r="E80" s="287"/>
      <c r="F80" s="385"/>
      <c r="G80" s="377"/>
      <c r="H80" s="259"/>
      <c r="I80" s="207"/>
    </row>
    <row r="81" spans="1:114" s="245" customFormat="1" ht="19.5" customHeight="1">
      <c r="A81" s="229" t="s">
        <v>20</v>
      </c>
      <c r="B81" s="238">
        <f>SUM(B78:B78)</f>
        <v>1980</v>
      </c>
      <c r="C81" s="146"/>
      <c r="D81" s="308">
        <f>SUM(D78:D80)</f>
        <v>0</v>
      </c>
      <c r="E81" s="288"/>
      <c r="F81" s="250">
        <f>F78</f>
        <v>0</v>
      </c>
      <c r="G81" s="240"/>
      <c r="H81" s="158">
        <f>SUM(H79:H80)</f>
        <v>0</v>
      </c>
      <c r="I81" s="231"/>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38.25" customHeight="1">
      <c r="A82" s="366" t="s">
        <v>322</v>
      </c>
      <c r="B82" s="359"/>
      <c r="C82" s="387" t="s">
        <v>388</v>
      </c>
      <c r="D82" s="286">
        <v>783</v>
      </c>
      <c r="E82" s="214" t="s">
        <v>373</v>
      </c>
      <c r="F82" s="383"/>
      <c r="G82" s="376"/>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1.75" customHeight="1">
      <c r="A83" s="367"/>
      <c r="B83" s="360"/>
      <c r="C83" s="389"/>
      <c r="D83" s="261"/>
      <c r="E83" s="287"/>
      <c r="F83" s="385"/>
      <c r="G83" s="377"/>
      <c r="H83" s="260"/>
      <c r="I83" s="260"/>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114" s="245" customFormat="1" ht="26.25" customHeight="1">
      <c r="A84" s="229" t="s">
        <v>20</v>
      </c>
      <c r="B84" s="238">
        <f>SUM(B82:B83)</f>
        <v>0</v>
      </c>
      <c r="C84" s="147"/>
      <c r="D84" s="221">
        <f>SUM(D82:D83)</f>
        <v>783</v>
      </c>
      <c r="E84" s="221"/>
      <c r="F84" s="160">
        <f>F82</f>
        <v>0</v>
      </c>
      <c r="G84" s="240"/>
      <c r="H84" s="158">
        <f>SUM(H82:H83)</f>
        <v>0</v>
      </c>
      <c r="I84" s="231"/>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row>
    <row r="85" spans="1:114" s="245" customFormat="1" ht="32.25" customHeight="1">
      <c r="A85" s="366" t="s">
        <v>321</v>
      </c>
      <c r="B85" s="390"/>
      <c r="C85" s="217" t="s">
        <v>388</v>
      </c>
      <c r="D85" s="287">
        <v>783</v>
      </c>
      <c r="E85" s="214" t="s">
        <v>373</v>
      </c>
      <c r="F85" s="393"/>
      <c r="G85" s="376"/>
      <c r="H85" s="259"/>
      <c r="I85" s="207"/>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row>
    <row r="86" spans="1:114" s="245" customFormat="1" ht="16.5" customHeight="1">
      <c r="A86" s="367"/>
      <c r="B86" s="392"/>
      <c r="C86" s="215"/>
      <c r="D86" s="261"/>
      <c r="E86" s="262"/>
      <c r="F86" s="395"/>
      <c r="G86" s="377"/>
      <c r="H86" s="158"/>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24" customHeight="1">
      <c r="A87" s="229" t="s">
        <v>20</v>
      </c>
      <c r="B87" s="238">
        <f>SUM(B85:B86)</f>
        <v>0</v>
      </c>
      <c r="C87" s="147"/>
      <c r="D87" s="220">
        <f>SUM(D85:D86)</f>
        <v>783</v>
      </c>
      <c r="E87" s="221"/>
      <c r="F87" s="160">
        <f>F85</f>
        <v>0</v>
      </c>
      <c r="G87" s="240"/>
      <c r="H87" s="158">
        <f>SUM(H85:H86)</f>
        <v>0</v>
      </c>
      <c r="I87" s="231"/>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9" ht="36" customHeight="1">
      <c r="A88" s="366" t="s">
        <v>389</v>
      </c>
      <c r="B88" s="359">
        <f>415+2020</f>
        <v>2435</v>
      </c>
      <c r="C88" s="370" t="s">
        <v>425</v>
      </c>
      <c r="D88" s="262">
        <v>783</v>
      </c>
      <c r="E88" s="261" t="s">
        <v>390</v>
      </c>
      <c r="F88" s="396"/>
      <c r="G88" s="376"/>
      <c r="H88" s="152"/>
      <c r="I88" s="207"/>
    </row>
    <row r="89" spans="1:9" ht="36" customHeight="1">
      <c r="A89" s="372"/>
      <c r="B89" s="373"/>
      <c r="C89" s="370"/>
      <c r="D89" s="262">
        <f>3647.4+3870+676.5+1852+1335</f>
        <v>11380.9</v>
      </c>
      <c r="E89" s="262" t="s">
        <v>422</v>
      </c>
      <c r="F89" s="397"/>
      <c r="G89" s="386"/>
      <c r="H89" s="152"/>
      <c r="I89" s="207"/>
    </row>
    <row r="90" spans="1:9" ht="36" customHeight="1">
      <c r="A90" s="372"/>
      <c r="B90" s="373"/>
      <c r="C90" s="370"/>
      <c r="D90" s="262">
        <f>1500+5655</f>
        <v>7155</v>
      </c>
      <c r="E90" s="276" t="s">
        <v>424</v>
      </c>
      <c r="F90" s="397"/>
      <c r="G90" s="386"/>
      <c r="H90" s="152"/>
      <c r="I90" s="207"/>
    </row>
    <row r="91" spans="1:9" ht="36" customHeight="1">
      <c r="A91" s="372"/>
      <c r="B91" s="373"/>
      <c r="C91" s="370"/>
      <c r="D91" s="262">
        <f>292</f>
        <v>292</v>
      </c>
      <c r="E91" s="276" t="s">
        <v>426</v>
      </c>
      <c r="F91" s="397"/>
      <c r="G91" s="386"/>
      <c r="H91" s="152"/>
      <c r="I91" s="207"/>
    </row>
    <row r="92" spans="1:9" ht="39.75" customHeight="1">
      <c r="A92" s="367"/>
      <c r="B92" s="360"/>
      <c r="C92" s="370"/>
      <c r="D92" s="262">
        <v>4</v>
      </c>
      <c r="E92" s="307" t="s">
        <v>364</v>
      </c>
      <c r="F92" s="398"/>
      <c r="G92" s="377"/>
      <c r="H92" s="152"/>
      <c r="I92" s="207"/>
    </row>
    <row r="93" spans="1:114" s="245" customFormat="1" ht="22.5" customHeight="1">
      <c r="A93" s="229" t="s">
        <v>20</v>
      </c>
      <c r="B93" s="252">
        <f>SUM(B88:B88)</f>
        <v>2435</v>
      </c>
      <c r="C93" s="370"/>
      <c r="D93" s="220">
        <f>SUM(D88:D92)</f>
        <v>19614.9</v>
      </c>
      <c r="E93" s="221"/>
      <c r="F93" s="160">
        <f>F88</f>
        <v>0</v>
      </c>
      <c r="G93" s="240"/>
      <c r="H93" s="250">
        <f>H88</f>
        <v>0</v>
      </c>
      <c r="I93" s="231"/>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74.75" customHeight="1" hidden="1">
      <c r="A94" s="229" t="s">
        <v>20</v>
      </c>
      <c r="B94" s="238">
        <f>SUM(B88:B93)</f>
        <v>4870</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6.5" customHeight="1" hidden="1">
      <c r="A95" s="263" t="s">
        <v>37</v>
      </c>
      <c r="B95" s="264">
        <v>10999</v>
      </c>
      <c r="C95" s="215" t="s">
        <v>52</v>
      </c>
      <c r="D95" s="221"/>
      <c r="E95" s="220"/>
      <c r="F95" s="159"/>
      <c r="G95" s="240"/>
      <c r="H95" s="158"/>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9" ht="17.25" customHeight="1" hidden="1">
      <c r="A96" s="263" t="s">
        <v>37</v>
      </c>
      <c r="B96" s="264">
        <v>1219</v>
      </c>
      <c r="C96" s="215" t="s">
        <v>43</v>
      </c>
      <c r="D96" s="262"/>
      <c r="E96" s="220"/>
      <c r="F96" s="162"/>
      <c r="G96" s="230"/>
      <c r="H96" s="259"/>
      <c r="I96" s="207"/>
    </row>
    <row r="97" spans="1:114" s="245" customFormat="1" ht="16.5" customHeight="1" hidden="1">
      <c r="A97" s="229" t="s">
        <v>20</v>
      </c>
      <c r="B97" s="238">
        <f>SUM(B95:B96)</f>
        <v>12218</v>
      </c>
      <c r="C97" s="146"/>
      <c r="D97" s="221"/>
      <c r="E97" s="220"/>
      <c r="F97" s="159"/>
      <c r="G97" s="240"/>
      <c r="H97" s="158"/>
      <c r="I97" s="158"/>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row>
    <row r="98" spans="1:114" s="245" customFormat="1" ht="16.5" customHeight="1" hidden="1">
      <c r="A98" s="263" t="s">
        <v>30</v>
      </c>
      <c r="B98" s="261">
        <v>3133</v>
      </c>
      <c r="C98" s="215" t="s">
        <v>44</v>
      </c>
      <c r="D98" s="262"/>
      <c r="E98" s="220"/>
      <c r="F98" s="159"/>
      <c r="G98" s="240"/>
      <c r="H98" s="158"/>
      <c r="I98" s="158"/>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row>
    <row r="99" spans="1:114" s="245" customFormat="1" ht="18.75" customHeight="1" hidden="1">
      <c r="A99" s="263" t="s">
        <v>30</v>
      </c>
      <c r="B99" s="261">
        <v>120</v>
      </c>
      <c r="C99" s="215" t="s">
        <v>36</v>
      </c>
      <c r="D99" s="262"/>
      <c r="E99" s="220"/>
      <c r="F99" s="159"/>
      <c r="G99" s="240"/>
      <c r="H99" s="158"/>
      <c r="I99" s="158"/>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18.75" customHeight="1" hidden="1">
      <c r="A100" s="263" t="s">
        <v>30</v>
      </c>
      <c r="B100" s="261">
        <v>210</v>
      </c>
      <c r="C100" s="215" t="s">
        <v>36</v>
      </c>
      <c r="D100" s="262"/>
      <c r="E100" s="220"/>
      <c r="F100" s="159"/>
      <c r="G100" s="240"/>
      <c r="H100" s="158"/>
      <c r="I100" s="158"/>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114" s="245" customFormat="1" ht="16.5" customHeight="1" hidden="1">
      <c r="A101" s="229" t="s">
        <v>20</v>
      </c>
      <c r="B101" s="220">
        <f>SUM(B98:B100)</f>
        <v>3463</v>
      </c>
      <c r="C101" s="146"/>
      <c r="D101" s="221"/>
      <c r="E101" s="220"/>
      <c r="F101" s="159"/>
      <c r="G101" s="240"/>
      <c r="H101" s="158"/>
      <c r="I101" s="158"/>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row>
    <row r="102" spans="1:114" s="245" customFormat="1" ht="17.25" customHeight="1" hidden="1">
      <c r="A102" s="263" t="s">
        <v>31</v>
      </c>
      <c r="B102" s="265">
        <v>60</v>
      </c>
      <c r="C102" s="215" t="s">
        <v>48</v>
      </c>
      <c r="D102" s="265">
        <v>149639.87</v>
      </c>
      <c r="E102" s="289" t="s">
        <v>47</v>
      </c>
      <c r="F102" s="156"/>
      <c r="G102" s="240"/>
      <c r="H102" s="263"/>
      <c r="I102" s="158"/>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17.25" customHeight="1" hidden="1">
      <c r="A103" s="263" t="s">
        <v>31</v>
      </c>
      <c r="B103" s="265">
        <v>3951.33</v>
      </c>
      <c r="C103" s="215" t="s">
        <v>51</v>
      </c>
      <c r="D103" s="265"/>
      <c r="E103" s="289"/>
      <c r="F103" s="156"/>
      <c r="G103" s="240"/>
      <c r="H103" s="263"/>
      <c r="I103" s="158"/>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30" customHeight="1">
      <c r="A104" s="366" t="s">
        <v>37</v>
      </c>
      <c r="B104" s="359">
        <f>13985+3626.7+1730</f>
        <v>19341.7</v>
      </c>
      <c r="C104" s="361" t="s">
        <v>428</v>
      </c>
      <c r="D104" s="262">
        <v>783</v>
      </c>
      <c r="E104" s="261" t="s">
        <v>390</v>
      </c>
      <c r="F104" s="396"/>
      <c r="G104" s="376"/>
      <c r="H104" s="259"/>
      <c r="I104" s="207"/>
    </row>
    <row r="105" spans="1:9" ht="30" customHeight="1">
      <c r="A105" s="372"/>
      <c r="B105" s="373"/>
      <c r="C105" s="375"/>
      <c r="D105" s="318">
        <f>5160+6516+3967+5919+45+10+3723+10</f>
        <v>25350</v>
      </c>
      <c r="E105" s="262" t="s">
        <v>422</v>
      </c>
      <c r="F105" s="397"/>
      <c r="G105" s="386"/>
      <c r="H105" s="259"/>
      <c r="I105" s="312"/>
    </row>
    <row r="106" spans="1:9" ht="30" customHeight="1">
      <c r="A106" s="372"/>
      <c r="B106" s="373"/>
      <c r="C106" s="375"/>
      <c r="D106" s="262">
        <f>14581+4322+2550</f>
        <v>21453</v>
      </c>
      <c r="E106" s="276" t="s">
        <v>424</v>
      </c>
      <c r="F106" s="397"/>
      <c r="G106" s="386"/>
      <c r="H106" s="259"/>
      <c r="I106" s="312"/>
    </row>
    <row r="107" spans="1:9" ht="30" customHeight="1">
      <c r="A107" s="372"/>
      <c r="B107" s="373"/>
      <c r="C107" s="375"/>
      <c r="D107" s="262">
        <v>4179</v>
      </c>
      <c r="E107" s="276" t="s">
        <v>427</v>
      </c>
      <c r="F107" s="397"/>
      <c r="G107" s="386"/>
      <c r="H107" s="259"/>
      <c r="I107" s="312"/>
    </row>
    <row r="108" spans="1:9" ht="30" customHeight="1">
      <c r="A108" s="372"/>
      <c r="B108" s="373"/>
      <c r="C108" s="375"/>
      <c r="D108" s="262">
        <f>1204+2500</f>
        <v>3704</v>
      </c>
      <c r="E108" s="276" t="s">
        <v>426</v>
      </c>
      <c r="F108" s="397"/>
      <c r="G108" s="386"/>
      <c r="H108" s="259"/>
      <c r="I108" s="312"/>
    </row>
    <row r="109" spans="1:9" ht="33" customHeight="1">
      <c r="A109" s="367"/>
      <c r="B109" s="360"/>
      <c r="C109" s="375"/>
      <c r="D109" s="262">
        <v>4</v>
      </c>
      <c r="E109" s="307" t="s">
        <v>364</v>
      </c>
      <c r="F109" s="398"/>
      <c r="G109" s="377"/>
      <c r="H109" s="162"/>
      <c r="I109" s="213"/>
    </row>
    <row r="110" spans="1:114" s="245" customFormat="1" ht="25.5" customHeight="1">
      <c r="A110" s="229" t="s">
        <v>20</v>
      </c>
      <c r="B110" s="252">
        <f>SUM(B104:B104)</f>
        <v>19341.7</v>
      </c>
      <c r="C110" s="362"/>
      <c r="D110" s="220">
        <f>SUM(D104:D109)</f>
        <v>55473</v>
      </c>
      <c r="E110" s="221"/>
      <c r="F110" s="160">
        <f>F104</f>
        <v>0</v>
      </c>
      <c r="G110" s="240"/>
      <c r="H110" s="158">
        <f>SUM(H104:H109)</f>
        <v>0</v>
      </c>
      <c r="I110" s="231"/>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39" customHeight="1">
      <c r="A111" s="366" t="s">
        <v>391</v>
      </c>
      <c r="B111" s="359">
        <v>920</v>
      </c>
      <c r="C111" s="234" t="s">
        <v>394</v>
      </c>
      <c r="D111" s="287">
        <v>783</v>
      </c>
      <c r="E111" s="214" t="s">
        <v>390</v>
      </c>
      <c r="F111" s="396"/>
      <c r="G111" s="376"/>
      <c r="H111" s="259"/>
      <c r="I111" s="207"/>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9" ht="16.5" customHeight="1">
      <c r="A112" s="367"/>
      <c r="B112" s="360"/>
      <c r="C112" s="215"/>
      <c r="D112" s="262"/>
      <c r="E112" s="261"/>
      <c r="F112" s="398"/>
      <c r="G112" s="377"/>
      <c r="H112" s="262"/>
      <c r="I112" s="299"/>
    </row>
    <row r="113" spans="1:114" s="245" customFormat="1" ht="25.5" customHeight="1">
      <c r="A113" s="229" t="s">
        <v>20</v>
      </c>
      <c r="B113" s="238">
        <f>SUM(B111:B111)</f>
        <v>920</v>
      </c>
      <c r="C113" s="147"/>
      <c r="D113" s="220">
        <f>D112+D111</f>
        <v>783</v>
      </c>
      <c r="E113" s="221"/>
      <c r="F113" s="160">
        <f>F111</f>
        <v>0</v>
      </c>
      <c r="G113" s="240"/>
      <c r="H113" s="158">
        <f>SUM(H111:H112)</f>
        <v>0</v>
      </c>
      <c r="I113" s="231"/>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33.75" customHeight="1">
      <c r="A114" s="366" t="s">
        <v>395</v>
      </c>
      <c r="B114" s="359">
        <v>1760</v>
      </c>
      <c r="C114" s="409" t="s">
        <v>394</v>
      </c>
      <c r="D114" s="287">
        <v>1566</v>
      </c>
      <c r="E114" s="214" t="s">
        <v>390</v>
      </c>
      <c r="F114" s="396"/>
      <c r="G114" s="376"/>
      <c r="H114" s="259"/>
      <c r="I114" s="207"/>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9" ht="25.5" customHeight="1">
      <c r="A115" s="367"/>
      <c r="B115" s="360"/>
      <c r="C115" s="410"/>
      <c r="D115" s="262"/>
      <c r="E115" s="261"/>
      <c r="F115" s="398"/>
      <c r="G115" s="377"/>
      <c r="H115" s="259"/>
      <c r="I115" s="207"/>
    </row>
    <row r="116" spans="1:114" s="245" customFormat="1" ht="21" customHeight="1">
      <c r="A116" s="229" t="s">
        <v>20</v>
      </c>
      <c r="B116" s="238">
        <f>SUM(B114:B115)</f>
        <v>1760</v>
      </c>
      <c r="C116" s="147"/>
      <c r="D116" s="220">
        <f>D115+D114</f>
        <v>1566</v>
      </c>
      <c r="E116" s="221"/>
      <c r="F116" s="160">
        <f>F114</f>
        <v>0</v>
      </c>
      <c r="G116" s="240"/>
      <c r="H116" s="158">
        <f>SUM(H114:H115)</f>
        <v>0</v>
      </c>
      <c r="I116" s="231"/>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0.75" customHeight="1" hidden="1">
      <c r="A117" s="365" t="s">
        <v>397</v>
      </c>
      <c r="B117" s="369">
        <f>110.7+9462.99+2080+701.3</f>
        <v>12354.99</v>
      </c>
      <c r="C117" s="215"/>
      <c r="D117" s="261"/>
      <c r="E117" s="290"/>
      <c r="F117" s="396"/>
      <c r="G117" s="376"/>
      <c r="H117" s="158"/>
      <c r="I117" s="231"/>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33" customHeight="1">
      <c r="A118" s="365"/>
      <c r="B118" s="369"/>
      <c r="C118" s="366" t="s">
        <v>429</v>
      </c>
      <c r="D118" s="262">
        <v>4</v>
      </c>
      <c r="E118" s="307" t="s">
        <v>364</v>
      </c>
      <c r="F118" s="397"/>
      <c r="G118" s="386"/>
      <c r="H118" s="156"/>
      <c r="I118" s="213"/>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33" customHeight="1">
      <c r="A119" s="365"/>
      <c r="B119" s="369"/>
      <c r="C119" s="372"/>
      <c r="D119" s="262">
        <v>75042</v>
      </c>
      <c r="E119" s="313" t="s">
        <v>407</v>
      </c>
      <c r="F119" s="397"/>
      <c r="G119" s="386"/>
      <c r="H119" s="156"/>
      <c r="I119" s="213"/>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33" customHeight="1">
      <c r="A120" s="365"/>
      <c r="B120" s="369"/>
      <c r="C120" s="372"/>
      <c r="D120" s="262">
        <f>45</f>
        <v>45</v>
      </c>
      <c r="E120" s="276" t="s">
        <v>424</v>
      </c>
      <c r="F120" s="397"/>
      <c r="G120" s="386"/>
      <c r="H120" s="156"/>
      <c r="I120" s="213"/>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33" customHeight="1">
      <c r="A121" s="365"/>
      <c r="B121" s="369"/>
      <c r="C121" s="372"/>
      <c r="D121" s="262">
        <v>932</v>
      </c>
      <c r="E121" s="276" t="s">
        <v>426</v>
      </c>
      <c r="F121" s="397"/>
      <c r="G121" s="386"/>
      <c r="H121" s="156"/>
      <c r="I121" s="213"/>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33" customHeight="1">
      <c r="A122" s="365"/>
      <c r="B122" s="369"/>
      <c r="C122" s="372"/>
      <c r="D122" s="262">
        <f>66840+20273+267360</f>
        <v>354473</v>
      </c>
      <c r="E122" s="314" t="s">
        <v>409</v>
      </c>
      <c r="F122" s="397"/>
      <c r="G122" s="386"/>
      <c r="H122" s="156"/>
      <c r="I122" s="213"/>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9" ht="35.25" customHeight="1">
      <c r="A123" s="365"/>
      <c r="B123" s="369"/>
      <c r="C123" s="367"/>
      <c r="D123" s="261">
        <v>783</v>
      </c>
      <c r="E123" s="261" t="s">
        <v>390</v>
      </c>
      <c r="F123" s="398"/>
      <c r="G123" s="377"/>
      <c r="H123" s="156"/>
      <c r="I123" s="213"/>
    </row>
    <row r="124" spans="1:114" s="245" customFormat="1" ht="24" customHeight="1">
      <c r="A124" s="229" t="s">
        <v>20</v>
      </c>
      <c r="B124" s="252">
        <f>SUM(B117:B117)</f>
        <v>12354.99</v>
      </c>
      <c r="C124" s="215"/>
      <c r="D124" s="220">
        <f>SUM(D118:D123)</f>
        <v>431279</v>
      </c>
      <c r="E124" s="262"/>
      <c r="F124" s="160">
        <f>F117</f>
        <v>0</v>
      </c>
      <c r="G124" s="240"/>
      <c r="H124" s="250">
        <f>SUM(H117:H123)</f>
        <v>0</v>
      </c>
      <c r="I124" s="231"/>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37.5" customHeight="1">
      <c r="A125" s="365" t="s">
        <v>58</v>
      </c>
      <c r="B125" s="359"/>
      <c r="C125" s="361" t="s">
        <v>388</v>
      </c>
      <c r="D125" s="261">
        <v>783</v>
      </c>
      <c r="E125" s="262" t="s">
        <v>390</v>
      </c>
      <c r="F125" s="393"/>
      <c r="G125" s="376"/>
      <c r="H125" s="259"/>
      <c r="I125" s="207"/>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5.75" customHeight="1">
      <c r="A126" s="365"/>
      <c r="B126" s="360"/>
      <c r="C126" s="362"/>
      <c r="D126" s="287"/>
      <c r="E126" s="214"/>
      <c r="F126" s="395"/>
      <c r="G126" s="377"/>
      <c r="H126" s="263"/>
      <c r="I126" s="158"/>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9.5" customHeight="1">
      <c r="A127" s="229" t="s">
        <v>20</v>
      </c>
      <c r="B127" s="266">
        <f>B125</f>
        <v>0</v>
      </c>
      <c r="C127" s="146"/>
      <c r="D127" s="266">
        <f>SUM(D125:D126)</f>
        <v>783</v>
      </c>
      <c r="E127" s="220"/>
      <c r="F127" s="159">
        <f>F125</f>
        <v>0</v>
      </c>
      <c r="G127" s="240"/>
      <c r="H127" s="158">
        <f>SUM(H125:H126)</f>
        <v>0</v>
      </c>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32.25" customHeight="1">
      <c r="A128" s="366" t="s">
        <v>320</v>
      </c>
      <c r="B128" s="402"/>
      <c r="C128" s="215" t="s">
        <v>388</v>
      </c>
      <c r="D128" s="265">
        <v>783</v>
      </c>
      <c r="E128" s="262" t="s">
        <v>398</v>
      </c>
      <c r="F128" s="393"/>
      <c r="G128" s="376"/>
      <c r="H128" s="158"/>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7.75" customHeight="1">
      <c r="A129" s="372"/>
      <c r="B129" s="403"/>
      <c r="C129" s="303" t="s">
        <v>430</v>
      </c>
      <c r="D129" s="261">
        <v>7100</v>
      </c>
      <c r="E129" s="314" t="s">
        <v>426</v>
      </c>
      <c r="F129" s="395"/>
      <c r="G129" s="377"/>
      <c r="H129" s="263"/>
      <c r="I129" s="158"/>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21" customHeight="1">
      <c r="A130" s="229" t="s">
        <v>20</v>
      </c>
      <c r="B130" s="266">
        <f>SUM(B128)</f>
        <v>0</v>
      </c>
      <c r="C130" s="146"/>
      <c r="D130" s="266">
        <f>SUM(D128:D129)</f>
        <v>7883</v>
      </c>
      <c r="E130" s="220"/>
      <c r="F130" s="159">
        <f>F128</f>
        <v>0</v>
      </c>
      <c r="G130" s="240"/>
      <c r="H130" s="158">
        <f>SUM(H128:H129)</f>
        <v>0</v>
      </c>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36" customHeight="1">
      <c r="A131" s="365" t="s">
        <v>399</v>
      </c>
      <c r="B131" s="402">
        <v>2180</v>
      </c>
      <c r="C131" s="361" t="s">
        <v>431</v>
      </c>
      <c r="D131" s="261">
        <v>2</v>
      </c>
      <c r="E131" s="310" t="s">
        <v>332</v>
      </c>
      <c r="F131" s="393"/>
      <c r="G131" s="376"/>
      <c r="H131" s="261"/>
      <c r="I131" s="299"/>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30" customHeight="1">
      <c r="A132" s="365"/>
      <c r="B132" s="403"/>
      <c r="C132" s="375"/>
      <c r="D132" s="261">
        <v>220</v>
      </c>
      <c r="E132" s="276" t="s">
        <v>424</v>
      </c>
      <c r="F132" s="394"/>
      <c r="G132" s="386"/>
      <c r="H132" s="261"/>
      <c r="I132" s="299"/>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34.5" customHeight="1">
      <c r="A133" s="365"/>
      <c r="B133" s="404"/>
      <c r="C133" s="362"/>
      <c r="D133" s="286">
        <v>5505</v>
      </c>
      <c r="E133" s="317" t="s">
        <v>426</v>
      </c>
      <c r="F133" s="395"/>
      <c r="G133" s="377"/>
      <c r="H133" s="158"/>
      <c r="I133" s="158"/>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19.5" customHeight="1">
      <c r="A134" s="229" t="s">
        <v>20</v>
      </c>
      <c r="B134" s="220">
        <f>SUM(B131)</f>
        <v>2180</v>
      </c>
      <c r="C134" s="146"/>
      <c r="D134" s="221">
        <f>SUM(D131:D133)</f>
        <v>5727</v>
      </c>
      <c r="E134" s="311"/>
      <c r="F134" s="159">
        <f>F131</f>
        <v>0</v>
      </c>
      <c r="G134" s="240"/>
      <c r="H134" s="158">
        <f>SUM(H131:H133)</f>
        <v>0</v>
      </c>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1" customHeight="1">
      <c r="A135" s="366" t="s">
        <v>59</v>
      </c>
      <c r="B135" s="402">
        <v>1960</v>
      </c>
      <c r="C135" s="218" t="s">
        <v>372</v>
      </c>
      <c r="D135" s="261"/>
      <c r="E135" s="292"/>
      <c r="F135" s="393"/>
      <c r="G135" s="376"/>
      <c r="H135" s="259"/>
      <c r="I135" s="207"/>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15" customHeight="1">
      <c r="A136" s="367"/>
      <c r="B136" s="404"/>
      <c r="C136" s="215"/>
      <c r="D136" s="287"/>
      <c r="E136" s="214"/>
      <c r="F136" s="395"/>
      <c r="G136" s="377"/>
      <c r="H136" s="158"/>
      <c r="I136" s="158"/>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9.5" customHeight="1">
      <c r="A137" s="229" t="s">
        <v>20</v>
      </c>
      <c r="B137" s="220">
        <f>B135</f>
        <v>1960</v>
      </c>
      <c r="C137" s="146"/>
      <c r="D137" s="221">
        <f>D135+D136</f>
        <v>0</v>
      </c>
      <c r="E137" s="261"/>
      <c r="F137" s="159">
        <f>F135</f>
        <v>0</v>
      </c>
      <c r="G137" s="240"/>
      <c r="H137" s="158">
        <f>SUM(H135:H136)</f>
        <v>0</v>
      </c>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30.75" customHeight="1">
      <c r="A138" s="366" t="s">
        <v>323</v>
      </c>
      <c r="B138" s="402"/>
      <c r="C138" s="387" t="s">
        <v>388</v>
      </c>
      <c r="D138" s="262">
        <v>783</v>
      </c>
      <c r="E138" s="280" t="s">
        <v>390</v>
      </c>
      <c r="F138" s="393"/>
      <c r="G138" s="405"/>
      <c r="H138" s="259"/>
      <c r="I138" s="207"/>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16.5" customHeight="1">
      <c r="A139" s="367"/>
      <c r="B139" s="404"/>
      <c r="C139" s="389"/>
      <c r="D139" s="287"/>
      <c r="E139" s="214"/>
      <c r="F139" s="395"/>
      <c r="G139" s="406"/>
      <c r="H139" s="158"/>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21.75" customHeight="1">
      <c r="A140" s="229" t="s">
        <v>20</v>
      </c>
      <c r="B140" s="220">
        <f>B138</f>
        <v>0</v>
      </c>
      <c r="C140" s="146"/>
      <c r="D140" s="221">
        <f>D139+D138</f>
        <v>783</v>
      </c>
      <c r="E140" s="261"/>
      <c r="F140" s="159">
        <f>F138</f>
        <v>0</v>
      </c>
      <c r="G140" s="240"/>
      <c r="H140" s="158">
        <f>SUM(H138:H139)</f>
        <v>0</v>
      </c>
      <c r="I140" s="158"/>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18.75" customHeight="1">
      <c r="A141" s="366" t="s">
        <v>400</v>
      </c>
      <c r="B141" s="402">
        <v>1670</v>
      </c>
      <c r="C141" s="219" t="s">
        <v>372</v>
      </c>
      <c r="D141" s="287"/>
      <c r="E141" s="214"/>
      <c r="F141" s="393"/>
      <c r="G141" s="376"/>
      <c r="H141" s="261"/>
      <c r="I141" s="299"/>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15.75">
      <c r="A142" s="367"/>
      <c r="B142" s="404"/>
      <c r="C142" s="215"/>
      <c r="D142" s="261"/>
      <c r="E142" s="261"/>
      <c r="F142" s="395"/>
      <c r="G142" s="377"/>
      <c r="H142" s="158"/>
      <c r="I142" s="158"/>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19.5" customHeight="1">
      <c r="A143" s="229" t="s">
        <v>20</v>
      </c>
      <c r="B143" s="220">
        <f>SUM(B141)</f>
        <v>1670</v>
      </c>
      <c r="C143" s="146"/>
      <c r="D143" s="221">
        <f>D142+D141</f>
        <v>0</v>
      </c>
      <c r="E143" s="261"/>
      <c r="F143" s="159">
        <f>F141</f>
        <v>0</v>
      </c>
      <c r="G143" s="240"/>
      <c r="H143" s="158">
        <f>SUM(H141:H142)</f>
        <v>0</v>
      </c>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0.25" customHeight="1" hidden="1">
      <c r="A144" s="366" t="s">
        <v>61</v>
      </c>
      <c r="B144" s="402"/>
      <c r="C144" s="387"/>
      <c r="D144" s="287"/>
      <c r="E144" s="214"/>
      <c r="F144" s="393"/>
      <c r="G144" s="376"/>
      <c r="H144" s="259"/>
      <c r="I144" s="207"/>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0.75" customHeight="1" hidden="1">
      <c r="A145" s="372"/>
      <c r="B145" s="403"/>
      <c r="C145" s="389"/>
      <c r="D145" s="293"/>
      <c r="E145" s="293"/>
      <c r="F145" s="394"/>
      <c r="G145" s="386"/>
      <c r="H145" s="158"/>
      <c r="I145" s="158"/>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20.25" customHeight="1" hidden="1">
      <c r="A146" s="367"/>
      <c r="B146" s="404"/>
      <c r="C146" s="215"/>
      <c r="D146" s="261"/>
      <c r="E146" s="280"/>
      <c r="F146" s="395"/>
      <c r="G146" s="377"/>
      <c r="H146" s="158"/>
      <c r="I146" s="158"/>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19.5" customHeight="1" hidden="1">
      <c r="A147" s="229" t="s">
        <v>20</v>
      </c>
      <c r="B147" s="220">
        <f>SUM(B144)</f>
        <v>0</v>
      </c>
      <c r="C147" s="146"/>
      <c r="D147" s="221">
        <f>SUM(D144:D146)</f>
        <v>0</v>
      </c>
      <c r="E147" s="261"/>
      <c r="F147" s="159">
        <f>F144</f>
        <v>0</v>
      </c>
      <c r="G147" s="240"/>
      <c r="H147" s="158">
        <f>SUM(H144:H146)</f>
        <v>0</v>
      </c>
      <c r="I147" s="158"/>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34.5" customHeight="1">
      <c r="A148" s="365" t="s">
        <v>62</v>
      </c>
      <c r="B148" s="408">
        <v>3400</v>
      </c>
      <c r="C148" s="217" t="s">
        <v>372</v>
      </c>
      <c r="D148" s="287">
        <v>3629.28</v>
      </c>
      <c r="E148" s="310" t="s">
        <v>341</v>
      </c>
      <c r="F148" s="393"/>
      <c r="G148" s="376"/>
      <c r="H148" s="259"/>
      <c r="I148" s="207"/>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29.25" customHeight="1">
      <c r="A149" s="365"/>
      <c r="B149" s="408"/>
      <c r="C149" s="217" t="s">
        <v>433</v>
      </c>
      <c r="D149" s="287">
        <v>1543696</v>
      </c>
      <c r="E149" s="214" t="s">
        <v>432</v>
      </c>
      <c r="F149" s="394"/>
      <c r="G149" s="386"/>
      <c r="H149" s="259"/>
      <c r="I149" s="207"/>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19.5" customHeight="1">
      <c r="A150" s="365"/>
      <c r="B150" s="408"/>
      <c r="C150" s="215" t="s">
        <v>434</v>
      </c>
      <c r="D150" s="261">
        <v>12570</v>
      </c>
      <c r="E150" s="262" t="s">
        <v>424</v>
      </c>
      <c r="F150" s="395"/>
      <c r="G150" s="377"/>
      <c r="H150" s="158"/>
      <c r="I150" s="158"/>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21" customHeight="1">
      <c r="A151" s="229" t="s">
        <v>20</v>
      </c>
      <c r="B151" s="220">
        <f>SUM(B148)</f>
        <v>3400</v>
      </c>
      <c r="C151" s="146"/>
      <c r="D151" s="221">
        <f>SUM(D148:D150)</f>
        <v>1559895.28</v>
      </c>
      <c r="E151" s="311"/>
      <c r="F151" s="159">
        <f>F148</f>
        <v>0</v>
      </c>
      <c r="G151" s="240"/>
      <c r="H151" s="158">
        <f>SUM(H148:H150)</f>
        <v>0</v>
      </c>
      <c r="I151" s="158"/>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27.75" customHeight="1">
      <c r="A152" s="366" t="s">
        <v>46</v>
      </c>
      <c r="B152" s="402"/>
      <c r="C152" s="215" t="s">
        <v>388</v>
      </c>
      <c r="D152" s="261">
        <v>783</v>
      </c>
      <c r="E152" s="280" t="s">
        <v>390</v>
      </c>
      <c r="F152" s="393"/>
      <c r="G152" s="376"/>
      <c r="H152" s="259"/>
      <c r="I152" s="207"/>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18" customHeight="1">
      <c r="A153" s="367"/>
      <c r="B153" s="404"/>
      <c r="C153" s="302"/>
      <c r="D153" s="261"/>
      <c r="E153" s="262"/>
      <c r="F153" s="395"/>
      <c r="G153" s="377"/>
      <c r="H153" s="158"/>
      <c r="I153" s="158"/>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18.75" customHeight="1">
      <c r="A154" s="229" t="s">
        <v>20</v>
      </c>
      <c r="B154" s="220">
        <f>B152</f>
        <v>0</v>
      </c>
      <c r="C154" s="146"/>
      <c r="D154" s="221">
        <f>D153+D152</f>
        <v>783</v>
      </c>
      <c r="E154" s="220"/>
      <c r="F154" s="159">
        <f>F152</f>
        <v>0</v>
      </c>
      <c r="G154" s="240"/>
      <c r="H154" s="158">
        <f>SUM(H152:H153)</f>
        <v>0</v>
      </c>
      <c r="I154" s="158"/>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48" customHeight="1">
      <c r="A155" s="366" t="s">
        <v>63</v>
      </c>
      <c r="B155" s="402">
        <f>6799+2490</f>
        <v>9289</v>
      </c>
      <c r="C155" s="215" t="s">
        <v>401</v>
      </c>
      <c r="D155" s="261">
        <v>1</v>
      </c>
      <c r="E155" s="310" t="s">
        <v>332</v>
      </c>
      <c r="F155" s="393"/>
      <c r="G155" s="376"/>
      <c r="H155" s="158"/>
      <c r="I155" s="158"/>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31.5" customHeight="1">
      <c r="A156" s="367"/>
      <c r="B156" s="404"/>
      <c r="C156" s="215"/>
      <c r="D156" s="286">
        <v>783</v>
      </c>
      <c r="E156" s="280" t="s">
        <v>390</v>
      </c>
      <c r="F156" s="395"/>
      <c r="G156" s="377"/>
      <c r="H156" s="261"/>
      <c r="I156" s="301"/>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23.25" customHeight="1">
      <c r="A157" s="229" t="s">
        <v>20</v>
      </c>
      <c r="B157" s="220">
        <f>B155</f>
        <v>9289</v>
      </c>
      <c r="C157" s="146"/>
      <c r="D157" s="221">
        <f>D156+D155</f>
        <v>784</v>
      </c>
      <c r="E157" s="311"/>
      <c r="F157" s="159">
        <f>F155</f>
        <v>0</v>
      </c>
      <c r="G157" s="240"/>
      <c r="H157" s="158">
        <f>SUM(H155:H156)</f>
        <v>0</v>
      </c>
      <c r="I157" s="158"/>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9.25" customHeight="1">
      <c r="A158" s="376" t="s">
        <v>402</v>
      </c>
      <c r="B158" s="378"/>
      <c r="C158" s="219" t="s">
        <v>414</v>
      </c>
      <c r="D158" s="262">
        <v>1147116.6</v>
      </c>
      <c r="E158" s="311" t="s">
        <v>413</v>
      </c>
      <c r="F158" s="159"/>
      <c r="G158" s="240"/>
      <c r="H158" s="158"/>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54" customHeight="1">
      <c r="A159" s="377"/>
      <c r="B159" s="379"/>
      <c r="C159" s="219" t="s">
        <v>415</v>
      </c>
      <c r="D159" s="262">
        <v>214000</v>
      </c>
      <c r="E159" s="261" t="s">
        <v>403</v>
      </c>
      <c r="F159" s="162"/>
      <c r="G159" s="240"/>
      <c r="H159" s="152"/>
      <c r="I159" s="207"/>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23.25" customHeight="1">
      <c r="A160" s="229" t="s">
        <v>20</v>
      </c>
      <c r="B160" s="220">
        <v>0</v>
      </c>
      <c r="C160" s="146"/>
      <c r="D160" s="221">
        <f>SUM(D158:D159)</f>
        <v>1361116.6</v>
      </c>
      <c r="E160" s="220"/>
      <c r="F160" s="159">
        <v>0</v>
      </c>
      <c r="G160" s="240"/>
      <c r="H160" s="250">
        <f>SUM(H159)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45" customFormat="1" ht="31.5" customHeight="1">
      <c r="A161" s="157" t="s">
        <v>272</v>
      </c>
      <c r="B161" s="261"/>
      <c r="C161" s="215" t="s">
        <v>388</v>
      </c>
      <c r="D161" s="286">
        <v>783</v>
      </c>
      <c r="E161" s="214" t="s">
        <v>390</v>
      </c>
      <c r="F161" s="156"/>
      <c r="G161" s="240"/>
      <c r="H161" s="259"/>
      <c r="I161" s="207"/>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row>
    <row r="162" spans="1:114" s="245" customFormat="1" ht="24.75" customHeight="1">
      <c r="A162" s="229" t="s">
        <v>20</v>
      </c>
      <c r="B162" s="220">
        <f>B161</f>
        <v>0</v>
      </c>
      <c r="C162" s="146"/>
      <c r="D162" s="221">
        <f>D161</f>
        <v>783</v>
      </c>
      <c r="E162" s="220"/>
      <c r="F162" s="159"/>
      <c r="G162" s="240"/>
      <c r="H162" s="158">
        <f>H161</f>
        <v>0</v>
      </c>
      <c r="I162" s="158"/>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row>
    <row r="163" spans="1:114" s="245" customFormat="1" ht="72" customHeight="1">
      <c r="A163" s="157" t="s">
        <v>54</v>
      </c>
      <c r="B163" s="261"/>
      <c r="C163" s="215" t="s">
        <v>331</v>
      </c>
      <c r="D163" s="287">
        <v>1</v>
      </c>
      <c r="E163" s="214" t="s">
        <v>332</v>
      </c>
      <c r="F163" s="156"/>
      <c r="G163" s="240"/>
      <c r="H163" s="259"/>
      <c r="I163" s="207"/>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row>
    <row r="164" spans="1:114" s="245" customFormat="1" ht="20.25" customHeight="1">
      <c r="A164" s="229" t="s">
        <v>20</v>
      </c>
      <c r="B164" s="220">
        <f>B163</f>
        <v>0</v>
      </c>
      <c r="C164" s="146"/>
      <c r="D164" s="221">
        <f>D163</f>
        <v>1</v>
      </c>
      <c r="E164" s="220"/>
      <c r="F164" s="159"/>
      <c r="G164" s="240"/>
      <c r="H164" s="158">
        <f>H163</f>
        <v>0</v>
      </c>
      <c r="I164" s="158"/>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row>
    <row r="165" spans="1:114" s="245" customFormat="1" ht="30.75" customHeight="1">
      <c r="A165" s="157" t="s">
        <v>66</v>
      </c>
      <c r="B165" s="261"/>
      <c r="C165" s="215"/>
      <c r="D165" s="287">
        <v>783</v>
      </c>
      <c r="E165" s="214" t="s">
        <v>374</v>
      </c>
      <c r="F165" s="156"/>
      <c r="G165" s="240"/>
      <c r="H165" s="259"/>
      <c r="I165" s="207"/>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row>
    <row r="166" spans="1:114" s="245" customFormat="1" ht="23.25" customHeight="1">
      <c r="A166" s="229" t="s">
        <v>20</v>
      </c>
      <c r="B166" s="220">
        <f>B165</f>
        <v>0</v>
      </c>
      <c r="C166" s="146"/>
      <c r="D166" s="221">
        <f>D165</f>
        <v>783</v>
      </c>
      <c r="E166" s="220"/>
      <c r="F166" s="159"/>
      <c r="G166" s="240"/>
      <c r="H166" s="158">
        <f>H165</f>
        <v>0</v>
      </c>
      <c r="I166" s="158"/>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row>
    <row r="167" spans="1:114" s="245" customFormat="1" ht="36" customHeight="1">
      <c r="A167" s="228" t="s">
        <v>319</v>
      </c>
      <c r="B167" s="220"/>
      <c r="C167" s="146"/>
      <c r="D167" s="287">
        <v>783</v>
      </c>
      <c r="E167" s="214" t="s">
        <v>374</v>
      </c>
      <c r="F167" s="159"/>
      <c r="G167" s="240"/>
      <c r="H167" s="259"/>
      <c r="I167" s="207"/>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4"/>
      <c r="DF167" s="244"/>
      <c r="DG167" s="244"/>
      <c r="DH167" s="244"/>
      <c r="DI167" s="244"/>
      <c r="DJ167" s="244"/>
    </row>
    <row r="168" spans="1:114" s="245" customFormat="1" ht="29.25" customHeight="1">
      <c r="A168" s="229" t="s">
        <v>20</v>
      </c>
      <c r="B168" s="220">
        <f>B167</f>
        <v>0</v>
      </c>
      <c r="C168" s="146"/>
      <c r="D168" s="221">
        <f>D167</f>
        <v>783</v>
      </c>
      <c r="E168" s="220"/>
      <c r="F168" s="159"/>
      <c r="G168" s="240"/>
      <c r="H168" s="158">
        <f>H167</f>
        <v>0</v>
      </c>
      <c r="I168" s="158"/>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4"/>
      <c r="DF168" s="244"/>
      <c r="DG168" s="244"/>
      <c r="DH168" s="244"/>
      <c r="DI168" s="244"/>
      <c r="DJ168" s="244"/>
    </row>
    <row r="169" spans="1:114" s="245" customFormat="1" ht="84" customHeight="1">
      <c r="A169" s="157" t="s">
        <v>317</v>
      </c>
      <c r="B169" s="261"/>
      <c r="C169" s="215" t="s">
        <v>334</v>
      </c>
      <c r="D169" s="286">
        <v>1600</v>
      </c>
      <c r="E169" s="214" t="s">
        <v>333</v>
      </c>
      <c r="F169" s="156"/>
      <c r="G169" s="240"/>
      <c r="H169" s="259"/>
      <c r="I169" s="207"/>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row>
    <row r="170" spans="1:114" s="245" customFormat="1" ht="24.75" customHeight="1">
      <c r="A170" s="229" t="s">
        <v>20</v>
      </c>
      <c r="B170" s="220">
        <f>SUM(B169)</f>
        <v>0</v>
      </c>
      <c r="C170" s="146"/>
      <c r="D170" s="221">
        <f>D169</f>
        <v>1600</v>
      </c>
      <c r="E170" s="220"/>
      <c r="F170" s="159"/>
      <c r="G170" s="240"/>
      <c r="H170" s="158">
        <f>H169</f>
        <v>0</v>
      </c>
      <c r="I170" s="158"/>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row>
    <row r="171" spans="1:114" s="245" customFormat="1" ht="27.75" customHeight="1">
      <c r="A171" s="157" t="s">
        <v>64</v>
      </c>
      <c r="B171" s="261">
        <v>2496</v>
      </c>
      <c r="C171" s="215" t="s">
        <v>342</v>
      </c>
      <c r="D171" s="287"/>
      <c r="E171" s="214"/>
      <c r="F171" s="156"/>
      <c r="G171" s="240"/>
      <c r="H171" s="259"/>
      <c r="I171" s="207"/>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row>
    <row r="172" spans="1:114" s="245" customFormat="1" ht="23.25" customHeight="1">
      <c r="A172" s="229" t="s">
        <v>20</v>
      </c>
      <c r="B172" s="220">
        <f>B171</f>
        <v>2496</v>
      </c>
      <c r="C172" s="146"/>
      <c r="D172" s="221">
        <f>D171</f>
        <v>0</v>
      </c>
      <c r="E172" s="220"/>
      <c r="F172" s="159"/>
      <c r="G172" s="240"/>
      <c r="H172" s="158">
        <f>H171</f>
        <v>0</v>
      </c>
      <c r="I172" s="158"/>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c r="DE172" s="244"/>
      <c r="DF172" s="244"/>
      <c r="DG172" s="244"/>
      <c r="DH172" s="244"/>
      <c r="DI172" s="244"/>
      <c r="DJ172" s="244"/>
    </row>
    <row r="173" spans="1:114" s="245" customFormat="1" ht="24" customHeight="1">
      <c r="A173" s="366" t="s">
        <v>315</v>
      </c>
      <c r="B173" s="402"/>
      <c r="C173" s="361"/>
      <c r="D173" s="287"/>
      <c r="E173" s="214"/>
      <c r="F173" s="156"/>
      <c r="G173" s="240"/>
      <c r="H173" s="259"/>
      <c r="I173" s="207"/>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row>
    <row r="174" spans="1:114" s="245" customFormat="1" ht="19.5" customHeight="1">
      <c r="A174" s="372"/>
      <c r="B174" s="403"/>
      <c r="C174" s="375"/>
      <c r="D174" s="261"/>
      <c r="E174" s="276"/>
      <c r="F174" s="156"/>
      <c r="G174" s="240"/>
      <c r="H174" s="158"/>
      <c r="I174" s="158"/>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row>
    <row r="175" spans="1:114" s="245" customFormat="1" ht="24" customHeight="1">
      <c r="A175" s="267" t="s">
        <v>20</v>
      </c>
      <c r="B175" s="220">
        <f>B173</f>
        <v>0</v>
      </c>
      <c r="C175" s="362"/>
      <c r="D175" s="220">
        <f>D173+D174</f>
        <v>0</v>
      </c>
      <c r="E175" s="289"/>
      <c r="F175" s="156"/>
      <c r="G175" s="240"/>
      <c r="H175" s="158">
        <f>H173+H174</f>
        <v>0</v>
      </c>
      <c r="I175" s="158"/>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c r="DE175" s="244"/>
      <c r="DF175" s="244"/>
      <c r="DG175" s="244"/>
      <c r="DH175" s="244"/>
      <c r="DI175" s="244"/>
      <c r="DJ175" s="244"/>
    </row>
    <row r="176" spans="1:114" s="245" customFormat="1" ht="39" customHeight="1">
      <c r="A176" s="157" t="s">
        <v>318</v>
      </c>
      <c r="B176" s="261"/>
      <c r="C176" s="215"/>
      <c r="D176" s="286"/>
      <c r="E176" s="214"/>
      <c r="F176" s="156"/>
      <c r="G176" s="240"/>
      <c r="H176" s="152"/>
      <c r="I176" s="207"/>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c r="DE176" s="244"/>
      <c r="DF176" s="244"/>
      <c r="DG176" s="244"/>
      <c r="DH176" s="244"/>
      <c r="DI176" s="244"/>
      <c r="DJ176" s="244"/>
    </row>
    <row r="177" spans="1:114" s="245" customFormat="1" ht="24.75" customHeight="1" thickBot="1">
      <c r="A177" s="229" t="s">
        <v>20</v>
      </c>
      <c r="B177" s="238">
        <f>B176</f>
        <v>0</v>
      </c>
      <c r="C177" s="146"/>
      <c r="D177" s="294">
        <f>D176</f>
        <v>0</v>
      </c>
      <c r="E177" s="220"/>
      <c r="F177" s="159"/>
      <c r="G177" s="240"/>
      <c r="H177" s="250">
        <f>H176</f>
        <v>0</v>
      </c>
      <c r="I177" s="158"/>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c r="DE177" s="244"/>
      <c r="DF177" s="244"/>
      <c r="DG177" s="244"/>
      <c r="DH177" s="244"/>
      <c r="DI177" s="244"/>
      <c r="DJ177" s="244"/>
    </row>
    <row r="178" spans="1:114" s="269" customFormat="1" ht="60.75" customHeight="1" thickBot="1">
      <c r="A178" s="253" t="s">
        <v>324</v>
      </c>
      <c r="B178" s="220">
        <f>SUM(B168+B66+B69+B77+B81+B84+B87+B93+B110+B113+B116+B124+B127+B175+B130+B134+B137+B140+B143+B147+B151+B154+B157+B162+B164+B166+B170+B172+B177)</f>
        <v>64256.69</v>
      </c>
      <c r="C178" s="220"/>
      <c r="D178" s="308">
        <f>SUM(D168+D66+D69+D77+D81+D175+D84+D87+D93+D110+D113+D116+D124+D127+D130+D134+D137+D140+D143+D147+D151+D154+D157+D162+D164+D166+D170+D172+D177+D160)</f>
        <v>3837695.8800000004</v>
      </c>
      <c r="E178" s="220">
        <f>SUM(E168+E66+E69+E77+E81+E175+E84+E87+E93+E110+E113+E116+E124+E127+E130+E134+E137+E140+E143+E147+E151+E154+E157+E162+E164+E166+E170+E172+E177)</f>
        <v>0</v>
      </c>
      <c r="F178" s="220">
        <f>SUM(F168+F66+F69+F77+F81+F175+F84+F87+F93+F110+F113+F116+F124+F127+F130+F134+F137+F140+F143+F147+F151+F154+F157+F162+F164+F166+F170+F172+F177)</f>
        <v>0</v>
      </c>
      <c r="G178" s="220">
        <f>SUM(G168+G66+G69+G77+G81+G175+G84+G87+G93+G110+G113+G116+G124+G127+G130+G134+G137+G140+G143+G147+G151+G154+G157+G162+G164+G166+G170+G172+G177)</f>
        <v>0</v>
      </c>
      <c r="H178" s="220">
        <f>SUM(H168+H66+H69+H77+H81+H175+H84+H87+H93+H110+H113+H116+H124+H127+H130+H134+H137+H140+H143+H147+H151+H154+H157+H162+H164+H166+H170+H172+H177)+H160</f>
        <v>0</v>
      </c>
      <c r="I178" s="220">
        <f>SUM(I168+I66+I69+I77+I81+I175+I84+I87+I93+I110+I113+I116+I124+I127+I130+I134+I137+I140+I143+I147+I151+I154+I157+I162+I164+I166+I170+I172+I177)</f>
        <v>0</v>
      </c>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c r="AR178" s="268"/>
      <c r="AS178" s="268"/>
      <c r="AT178" s="268"/>
      <c r="AU178" s="268"/>
      <c r="AV178" s="268"/>
      <c r="AW178" s="268"/>
      <c r="AX178" s="268"/>
      <c r="AY178" s="268"/>
      <c r="AZ178" s="268"/>
      <c r="BA178" s="268"/>
      <c r="BB178" s="268"/>
      <c r="BC178" s="268"/>
      <c r="BD178" s="268"/>
      <c r="BE178" s="268"/>
      <c r="BF178" s="268"/>
      <c r="BG178" s="268"/>
      <c r="BH178" s="268"/>
      <c r="BI178" s="268"/>
      <c r="BJ178" s="268"/>
      <c r="BK178" s="268"/>
      <c r="BL178" s="268"/>
      <c r="BM178" s="268"/>
      <c r="BN178" s="268"/>
      <c r="BO178" s="268"/>
      <c r="BP178" s="268"/>
      <c r="BQ178" s="268"/>
      <c r="BR178" s="268"/>
      <c r="BS178" s="268"/>
      <c r="BT178" s="268"/>
      <c r="BU178" s="268"/>
      <c r="BV178" s="268"/>
      <c r="BW178" s="268"/>
      <c r="BX178" s="268"/>
      <c r="BY178" s="268"/>
      <c r="BZ178" s="268"/>
      <c r="CA178" s="268"/>
      <c r="CB178" s="268"/>
      <c r="CC178" s="268"/>
      <c r="CD178" s="268"/>
      <c r="CE178" s="268"/>
      <c r="CF178" s="268"/>
      <c r="CG178" s="268"/>
      <c r="CH178" s="268"/>
      <c r="CI178" s="268"/>
      <c r="CJ178" s="268"/>
      <c r="CK178" s="268"/>
      <c r="CL178" s="268"/>
      <c r="CM178" s="268"/>
      <c r="CN178" s="268"/>
      <c r="CO178" s="268"/>
      <c r="CP178" s="268"/>
      <c r="CQ178" s="268"/>
      <c r="CR178" s="268"/>
      <c r="CS178" s="268"/>
      <c r="CT178" s="268"/>
      <c r="CU178" s="268"/>
      <c r="CV178" s="268"/>
      <c r="CW178" s="268"/>
      <c r="CX178" s="268"/>
      <c r="CY178" s="268"/>
      <c r="CZ178" s="268"/>
      <c r="DA178" s="268"/>
      <c r="DB178" s="268"/>
      <c r="DC178" s="268"/>
      <c r="DD178" s="268"/>
      <c r="DE178" s="268"/>
      <c r="DF178" s="268"/>
      <c r="DG178" s="268"/>
      <c r="DH178" s="268"/>
      <c r="DI178" s="268"/>
      <c r="DJ178" s="268"/>
    </row>
    <row r="179" spans="1:114" s="269" customFormat="1" ht="79.5" customHeight="1" thickBot="1">
      <c r="A179" s="229" t="s">
        <v>325</v>
      </c>
      <c r="B179" s="221">
        <f>SUM(B63+B178)</f>
        <v>187303.90000000002</v>
      </c>
      <c r="C179" s="221"/>
      <c r="D179" s="309">
        <f aca="true" t="shared" si="0" ref="D179:I179">D178+D63</f>
        <v>3932334.2800000003</v>
      </c>
      <c r="E179" s="221">
        <f t="shared" si="0"/>
        <v>0</v>
      </c>
      <c r="F179" s="221">
        <f t="shared" si="0"/>
        <v>0</v>
      </c>
      <c r="G179" s="221">
        <f t="shared" si="0"/>
        <v>0</v>
      </c>
      <c r="H179" s="221">
        <f t="shared" si="0"/>
        <v>0</v>
      </c>
      <c r="I179" s="221">
        <f t="shared" si="0"/>
        <v>0</v>
      </c>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8"/>
      <c r="AR179" s="268"/>
      <c r="AS179" s="268"/>
      <c r="AT179" s="268"/>
      <c r="AU179" s="268"/>
      <c r="AV179" s="268"/>
      <c r="AW179" s="268"/>
      <c r="AX179" s="268"/>
      <c r="AY179" s="268"/>
      <c r="AZ179" s="268"/>
      <c r="BA179" s="268"/>
      <c r="BB179" s="268"/>
      <c r="BC179" s="268"/>
      <c r="BD179" s="268"/>
      <c r="BE179" s="268"/>
      <c r="BF179" s="268"/>
      <c r="BG179" s="268"/>
      <c r="BH179" s="268"/>
      <c r="BI179" s="268"/>
      <c r="BJ179" s="268"/>
      <c r="BK179" s="268"/>
      <c r="BL179" s="268"/>
      <c r="BM179" s="268"/>
      <c r="BN179" s="268"/>
      <c r="BO179" s="268"/>
      <c r="BP179" s="268"/>
      <c r="BQ179" s="268"/>
      <c r="BR179" s="268"/>
      <c r="BS179" s="268"/>
      <c r="BT179" s="268"/>
      <c r="BU179" s="268"/>
      <c r="BV179" s="268"/>
      <c r="BW179" s="268"/>
      <c r="BX179" s="268"/>
      <c r="BY179" s="268"/>
      <c r="BZ179" s="268"/>
      <c r="CA179" s="268"/>
      <c r="CB179" s="268"/>
      <c r="CC179" s="268"/>
      <c r="CD179" s="268"/>
      <c r="CE179" s="268"/>
      <c r="CF179" s="268"/>
      <c r="CG179" s="268"/>
      <c r="CH179" s="268"/>
      <c r="CI179" s="268"/>
      <c r="CJ179" s="268"/>
      <c r="CK179" s="268"/>
      <c r="CL179" s="268"/>
      <c r="CM179" s="268"/>
      <c r="CN179" s="268"/>
      <c r="CO179" s="268"/>
      <c r="CP179" s="268"/>
      <c r="CQ179" s="268"/>
      <c r="CR179" s="268"/>
      <c r="CS179" s="268"/>
      <c r="CT179" s="268"/>
      <c r="CU179" s="268"/>
      <c r="CV179" s="268"/>
      <c r="CW179" s="268"/>
      <c r="CX179" s="268"/>
      <c r="CY179" s="268"/>
      <c r="CZ179" s="268"/>
      <c r="DA179" s="268"/>
      <c r="DB179" s="268"/>
      <c r="DC179" s="268"/>
      <c r="DD179" s="268"/>
      <c r="DE179" s="268"/>
      <c r="DF179" s="268"/>
      <c r="DG179" s="268"/>
      <c r="DH179" s="268"/>
      <c r="DI179" s="268"/>
      <c r="DJ179" s="268"/>
    </row>
    <row r="180" spans="1:114" s="272" customFormat="1" ht="9.75" customHeight="1" hidden="1">
      <c r="A180" s="222"/>
      <c r="B180" s="270"/>
      <c r="C180" s="222"/>
      <c r="D180" s="295"/>
      <c r="E180" s="273"/>
      <c r="F180" s="271"/>
      <c r="G180" s="271"/>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32"/>
      <c r="AT180" s="232"/>
      <c r="AU180" s="232"/>
      <c r="AV180" s="232"/>
      <c r="AW180" s="232"/>
      <c r="AX180" s="232"/>
      <c r="AY180" s="232"/>
      <c r="AZ180" s="232"/>
      <c r="BA180" s="232"/>
      <c r="BB180" s="232"/>
      <c r="BC180" s="232"/>
      <c r="BD180" s="232"/>
      <c r="BE180" s="232"/>
      <c r="BF180" s="232"/>
      <c r="BG180" s="232"/>
      <c r="BH180" s="232"/>
      <c r="BI180" s="232"/>
      <c r="BJ180" s="232"/>
      <c r="BK180" s="232"/>
      <c r="BL180" s="232"/>
      <c r="BM180" s="232"/>
      <c r="BN180" s="232"/>
      <c r="BO180" s="232"/>
      <c r="BP180" s="232"/>
      <c r="BQ180" s="232"/>
      <c r="BR180" s="232"/>
      <c r="BS180" s="232"/>
      <c r="BT180" s="232"/>
      <c r="BU180" s="232"/>
      <c r="BV180" s="232"/>
      <c r="BW180" s="232"/>
      <c r="BX180" s="232"/>
      <c r="BY180" s="232"/>
      <c r="BZ180" s="232"/>
      <c r="CA180" s="232"/>
      <c r="CB180" s="232"/>
      <c r="CC180" s="232"/>
      <c r="CD180" s="232"/>
      <c r="CE180" s="232"/>
      <c r="CF180" s="232"/>
      <c r="CG180" s="232"/>
      <c r="CH180" s="232"/>
      <c r="CI180" s="232"/>
      <c r="CJ180" s="232"/>
      <c r="CK180" s="232"/>
      <c r="CL180" s="232"/>
      <c r="CM180" s="232"/>
      <c r="CN180" s="232"/>
      <c r="CO180" s="232"/>
      <c r="CP180" s="232"/>
      <c r="CQ180" s="232"/>
      <c r="CR180" s="232"/>
      <c r="CS180" s="232"/>
      <c r="CT180" s="232"/>
      <c r="CU180" s="232"/>
      <c r="CV180" s="232"/>
      <c r="CW180" s="232"/>
      <c r="CX180" s="232"/>
      <c r="CY180" s="232"/>
      <c r="CZ180" s="232"/>
      <c r="DA180" s="232"/>
      <c r="DB180" s="232"/>
      <c r="DC180" s="232"/>
      <c r="DD180" s="232"/>
      <c r="DE180" s="232"/>
      <c r="DF180" s="232"/>
      <c r="DG180" s="232"/>
      <c r="DH180" s="232"/>
      <c r="DI180" s="232"/>
      <c r="DJ180" s="232"/>
    </row>
    <row r="181" spans="1:114" s="272" customFormat="1" ht="33" customHeight="1">
      <c r="A181" s="223" t="s">
        <v>326</v>
      </c>
      <c r="B181" s="273"/>
      <c r="C181" s="223"/>
      <c r="D181" s="295"/>
      <c r="E181" s="273" t="s">
        <v>34</v>
      </c>
      <c r="F181" s="271"/>
      <c r="G181" s="223" t="s">
        <v>343</v>
      </c>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c r="AX181" s="232"/>
      <c r="AY181" s="232"/>
      <c r="AZ181" s="232"/>
      <c r="BA181" s="232"/>
      <c r="BB181" s="232"/>
      <c r="BC181" s="232"/>
      <c r="BD181" s="232"/>
      <c r="BE181" s="232"/>
      <c r="BF181" s="232"/>
      <c r="BG181" s="232"/>
      <c r="BH181" s="232"/>
      <c r="BI181" s="232"/>
      <c r="BJ181" s="232"/>
      <c r="BK181" s="232"/>
      <c r="BL181" s="232"/>
      <c r="BM181" s="232"/>
      <c r="BN181" s="232"/>
      <c r="BO181" s="232"/>
      <c r="BP181" s="232"/>
      <c r="BQ181" s="232"/>
      <c r="BR181" s="232"/>
      <c r="BS181" s="232"/>
      <c r="BT181" s="232"/>
      <c r="BU181" s="232"/>
      <c r="BV181" s="232"/>
      <c r="BW181" s="232"/>
      <c r="BX181" s="232"/>
      <c r="BY181" s="232"/>
      <c r="BZ181" s="232"/>
      <c r="CA181" s="232"/>
      <c r="CB181" s="232"/>
      <c r="CC181" s="232"/>
      <c r="CD181" s="232"/>
      <c r="CE181" s="232"/>
      <c r="CF181" s="232"/>
      <c r="CG181" s="232"/>
      <c r="CH181" s="232"/>
      <c r="CI181" s="232"/>
      <c r="CJ181" s="232"/>
      <c r="CK181" s="232"/>
      <c r="CL181" s="232"/>
      <c r="CM181" s="232"/>
      <c r="CN181" s="232"/>
      <c r="CO181" s="232"/>
      <c r="CP181" s="232"/>
      <c r="CQ181" s="232"/>
      <c r="CR181" s="232"/>
      <c r="CS181" s="232"/>
      <c r="CT181" s="232"/>
      <c r="CU181" s="232"/>
      <c r="CV181" s="232"/>
      <c r="CW181" s="232"/>
      <c r="CX181" s="232"/>
      <c r="CY181" s="232"/>
      <c r="CZ181" s="232"/>
      <c r="DA181" s="232"/>
      <c r="DB181" s="232"/>
      <c r="DC181" s="232"/>
      <c r="DD181" s="232"/>
      <c r="DE181" s="232"/>
      <c r="DF181" s="232"/>
      <c r="DG181" s="232"/>
      <c r="DH181" s="232"/>
      <c r="DI181" s="232"/>
      <c r="DJ181" s="232"/>
    </row>
    <row r="182" spans="1:9" ht="20.25" customHeight="1">
      <c r="A182" s="222" t="s">
        <v>35</v>
      </c>
      <c r="B182" s="270"/>
      <c r="C182" s="224"/>
      <c r="D182" s="296"/>
      <c r="E182" s="300"/>
      <c r="F182" s="222"/>
      <c r="G182" s="222" t="s">
        <v>344</v>
      </c>
      <c r="H182" s="182"/>
      <c r="I182" s="182"/>
    </row>
    <row r="183" spans="1:10" ht="20.25" customHeight="1">
      <c r="A183" s="224" t="s">
        <v>345</v>
      </c>
      <c r="B183" s="224"/>
      <c r="C183" s="224"/>
      <c r="D183" s="295"/>
      <c r="E183" s="298"/>
      <c r="F183" s="274"/>
      <c r="G183" s="274"/>
      <c r="H183" s="182"/>
      <c r="I183" s="246"/>
      <c r="J183" s="182" t="s">
        <v>327</v>
      </c>
    </row>
    <row r="184" spans="1:9" ht="20.25" customHeight="1">
      <c r="A184" s="224" t="s">
        <v>346</v>
      </c>
      <c r="B184" s="224"/>
      <c r="C184" s="224"/>
      <c r="D184" s="295"/>
      <c r="E184" s="298"/>
      <c r="F184" s="274"/>
      <c r="G184" s="274"/>
      <c r="H184" s="182"/>
      <c r="I184" s="182"/>
    </row>
    <row r="185" spans="1:9" ht="12" customHeight="1">
      <c r="A185" s="182"/>
      <c r="B185" s="225"/>
      <c r="C185" s="225"/>
      <c r="D185" s="297"/>
      <c r="E185" s="225"/>
      <c r="F185" s="182"/>
      <c r="G185" s="182"/>
      <c r="H185" s="182"/>
      <c r="I185" s="182"/>
    </row>
    <row r="186" spans="1:9" ht="15.75">
      <c r="A186" s="182"/>
      <c r="B186" s="225"/>
      <c r="C186" s="225"/>
      <c r="D186" s="297"/>
      <c r="E186" s="225"/>
      <c r="F186" s="182"/>
      <c r="G186" s="182"/>
      <c r="H186" s="182"/>
      <c r="I186" s="182"/>
    </row>
    <row r="187" spans="1:9" ht="15.75">
      <c r="A187" s="182"/>
      <c r="B187" s="225"/>
      <c r="C187" s="225"/>
      <c r="D187" s="297"/>
      <c r="E187" s="225"/>
      <c r="F187" s="182"/>
      <c r="G187" s="182"/>
      <c r="H187" s="182"/>
      <c r="I187" s="182"/>
    </row>
  </sheetData>
  <sheetProtection/>
  <mergeCells count="166">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E26:E27"/>
    <mergeCell ref="F26:F27"/>
    <mergeCell ref="A18:A19"/>
    <mergeCell ref="A20:A21"/>
    <mergeCell ref="B20:B21"/>
    <mergeCell ref="C20:C21"/>
    <mergeCell ref="A23:A24"/>
    <mergeCell ref="B23:B24"/>
    <mergeCell ref="C23:C24"/>
    <mergeCell ref="G26:G27"/>
    <mergeCell ref="H26:H27"/>
    <mergeCell ref="I26:I27"/>
    <mergeCell ref="A30:A31"/>
    <mergeCell ref="B30:B31"/>
    <mergeCell ref="C30:C31"/>
    <mergeCell ref="A26:A28"/>
    <mergeCell ref="B26:B28"/>
    <mergeCell ref="C26:C28"/>
    <mergeCell ref="D26:D27"/>
    <mergeCell ref="A33:A34"/>
    <mergeCell ref="B33:B34"/>
    <mergeCell ref="C33:C34"/>
    <mergeCell ref="A36:A37"/>
    <mergeCell ref="B36:B37"/>
    <mergeCell ref="C36:C38"/>
    <mergeCell ref="D36:D37"/>
    <mergeCell ref="E36:E37"/>
    <mergeCell ref="A39:A40"/>
    <mergeCell ref="B39:B40"/>
    <mergeCell ref="C39:C40"/>
    <mergeCell ref="A42:A43"/>
    <mergeCell ref="B42:B43"/>
    <mergeCell ref="C42:C44"/>
    <mergeCell ref="A45:A46"/>
    <mergeCell ref="B45:B46"/>
    <mergeCell ref="C45:C46"/>
    <mergeCell ref="A48:A49"/>
    <mergeCell ref="B48:B49"/>
    <mergeCell ref="C48:C49"/>
    <mergeCell ref="A51:A52"/>
    <mergeCell ref="B51:B52"/>
    <mergeCell ref="C51:C52"/>
    <mergeCell ref="A54:A55"/>
    <mergeCell ref="B54:B55"/>
    <mergeCell ref="C54:C56"/>
    <mergeCell ref="A57:A58"/>
    <mergeCell ref="B57:B58"/>
    <mergeCell ref="C57:C58"/>
    <mergeCell ref="A60:A61"/>
    <mergeCell ref="B60:B61"/>
    <mergeCell ref="C60:C61"/>
    <mergeCell ref="A64:A65"/>
    <mergeCell ref="B64:B65"/>
    <mergeCell ref="C64:C66"/>
    <mergeCell ref="A67:A68"/>
    <mergeCell ref="B67:B68"/>
    <mergeCell ref="C67:C69"/>
    <mergeCell ref="A70:A76"/>
    <mergeCell ref="B70:B76"/>
    <mergeCell ref="C70:C76"/>
    <mergeCell ref="F70:F76"/>
    <mergeCell ref="G70:G76"/>
    <mergeCell ref="A78:A80"/>
    <mergeCell ref="B78:B80"/>
    <mergeCell ref="C78:C80"/>
    <mergeCell ref="F78:F80"/>
    <mergeCell ref="G78:G80"/>
    <mergeCell ref="A82:A83"/>
    <mergeCell ref="B82:B83"/>
    <mergeCell ref="C82:C83"/>
    <mergeCell ref="F82:F83"/>
    <mergeCell ref="G82:G83"/>
    <mergeCell ref="A85:A86"/>
    <mergeCell ref="B85:B86"/>
    <mergeCell ref="F85:F86"/>
    <mergeCell ref="G85:G86"/>
    <mergeCell ref="A88:A92"/>
    <mergeCell ref="B88:B92"/>
    <mergeCell ref="C88:C93"/>
    <mergeCell ref="F88:F92"/>
    <mergeCell ref="G88:G92"/>
    <mergeCell ref="A104:A109"/>
    <mergeCell ref="B104:B109"/>
    <mergeCell ref="C104:C110"/>
    <mergeCell ref="F104:F109"/>
    <mergeCell ref="G104:G109"/>
    <mergeCell ref="A111:A112"/>
    <mergeCell ref="B111:B112"/>
    <mergeCell ref="F111:F112"/>
    <mergeCell ref="G111:G112"/>
    <mergeCell ref="A114:A115"/>
    <mergeCell ref="B114:B115"/>
    <mergeCell ref="C114:C115"/>
    <mergeCell ref="F114:F115"/>
    <mergeCell ref="G114:G115"/>
    <mergeCell ref="A117:A123"/>
    <mergeCell ref="B117:B123"/>
    <mergeCell ref="F117:F123"/>
    <mergeCell ref="G117:G123"/>
    <mergeCell ref="C118:C123"/>
    <mergeCell ref="A125:A126"/>
    <mergeCell ref="B125:B126"/>
    <mergeCell ref="C125:C126"/>
    <mergeCell ref="F125:F126"/>
    <mergeCell ref="G125:G126"/>
    <mergeCell ref="A128:A129"/>
    <mergeCell ref="B128:B129"/>
    <mergeCell ref="F128:F129"/>
    <mergeCell ref="G128:G129"/>
    <mergeCell ref="A131:A133"/>
    <mergeCell ref="B131:B133"/>
    <mergeCell ref="C131:C133"/>
    <mergeCell ref="F131:F133"/>
    <mergeCell ref="G131:G133"/>
    <mergeCell ref="A135:A136"/>
    <mergeCell ref="B135:B136"/>
    <mergeCell ref="F135:F136"/>
    <mergeCell ref="G135:G136"/>
    <mergeCell ref="A138:A139"/>
    <mergeCell ref="B138:B139"/>
    <mergeCell ref="C138:C139"/>
    <mergeCell ref="F138:F139"/>
    <mergeCell ref="G138:G139"/>
    <mergeCell ref="G152:G153"/>
    <mergeCell ref="A141:A142"/>
    <mergeCell ref="B141:B142"/>
    <mergeCell ref="F141:F142"/>
    <mergeCell ref="G141:G142"/>
    <mergeCell ref="A144:A146"/>
    <mergeCell ref="B144:B146"/>
    <mergeCell ref="C144:C145"/>
    <mergeCell ref="F144:F146"/>
    <mergeCell ref="G144:G146"/>
    <mergeCell ref="G155:G156"/>
    <mergeCell ref="A158:A159"/>
    <mergeCell ref="B158:B159"/>
    <mergeCell ref="A148:A150"/>
    <mergeCell ref="B148:B150"/>
    <mergeCell ref="F148:F150"/>
    <mergeCell ref="G148:G150"/>
    <mergeCell ref="A152:A153"/>
    <mergeCell ref="B152:B153"/>
    <mergeCell ref="F152:F153"/>
    <mergeCell ref="A173:A174"/>
    <mergeCell ref="B173:B174"/>
    <mergeCell ref="C173:C175"/>
    <mergeCell ref="A155:A156"/>
    <mergeCell ref="B155:B156"/>
    <mergeCell ref="F155:F156"/>
  </mergeCells>
  <printOptions/>
  <pageMargins left="0.11811023622047245" right="0.11811023622047245" top="0.35433070866141736" bottom="0.35433070866141736"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DJ175"/>
  <sheetViews>
    <sheetView zoomScalePageLayoutView="0" workbookViewId="0" topLeftCell="A8">
      <pane xSplit="3" ySplit="4" topLeftCell="D81" activePane="bottomRight" state="frozen"/>
      <selection pane="topLeft" activeCell="A8" sqref="A8"/>
      <selection pane="topRight" activeCell="D8" sqref="D8"/>
      <selection pane="bottomLeft" activeCell="A12" sqref="A12"/>
      <selection pane="bottomRight" activeCell="C87" sqref="C87:C89"/>
    </sheetView>
  </sheetViews>
  <sheetFormatPr defaultColWidth="25.7109375" defaultRowHeight="15"/>
  <cols>
    <col min="1" max="1" width="14.28125" style="4" customWidth="1"/>
    <col min="2" max="2" width="12.57421875" style="226" customWidth="1"/>
    <col min="3" max="3" width="34.421875" style="226" customWidth="1"/>
    <col min="4" max="4" width="11.57421875" style="275" customWidth="1"/>
    <col min="5" max="5" width="20.57421875" style="226" customWidth="1"/>
    <col min="6" max="6" width="9.28125" style="4" customWidth="1"/>
    <col min="7" max="7" width="8.8515625" style="4" customWidth="1"/>
    <col min="8" max="8" width="9.28125" style="4" customWidth="1"/>
    <col min="9" max="9" width="11.85156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406</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375</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33.75" customHeight="1">
      <c r="A15" s="365" t="s">
        <v>376</v>
      </c>
      <c r="B15" s="359">
        <f>776.6+847.8+13872</f>
        <v>15496.4</v>
      </c>
      <c r="C15" s="361" t="s">
        <v>384</v>
      </c>
      <c r="D15" s="262">
        <v>783</v>
      </c>
      <c r="E15" s="276" t="s">
        <v>373</v>
      </c>
      <c r="F15" s="236"/>
      <c r="G15" s="230"/>
      <c r="H15" s="228"/>
      <c r="I15" s="213"/>
      <c r="J15" s="235"/>
      <c r="K15" s="246"/>
    </row>
    <row r="16" spans="1:11" ht="13.5" customHeight="1">
      <c r="A16" s="365"/>
      <c r="B16" s="360"/>
      <c r="C16" s="362"/>
      <c r="D16" s="262"/>
      <c r="E16" s="261"/>
      <c r="F16" s="236"/>
      <c r="G16" s="230"/>
      <c r="H16" s="228"/>
      <c r="I16" s="228"/>
      <c r="J16" s="235"/>
      <c r="K16" s="246"/>
    </row>
    <row r="17" spans="1:114" s="245" customFormat="1" ht="22.5" customHeight="1">
      <c r="A17" s="229" t="s">
        <v>19</v>
      </c>
      <c r="B17" s="238">
        <f>SUM(B15)</f>
        <v>15496.4</v>
      </c>
      <c r="C17" s="215"/>
      <c r="D17" s="266">
        <f>D16+D15</f>
        <v>783</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65" t="s">
        <v>377</v>
      </c>
      <c r="B18" s="306">
        <v>670</v>
      </c>
      <c r="C18" s="215" t="s">
        <v>417</v>
      </c>
      <c r="D18" s="214">
        <v>11557.3</v>
      </c>
      <c r="E18" s="313" t="s">
        <v>412</v>
      </c>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365"/>
      <c r="B19" s="238">
        <f>SUM(B18)</f>
        <v>670</v>
      </c>
      <c r="C19" s="303"/>
      <c r="D19" s="279">
        <f>D18</f>
        <v>11557.3</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32.25" customHeight="1">
      <c r="A20" s="366" t="s">
        <v>378</v>
      </c>
      <c r="B20" s="359">
        <f>537+3249.47+3550</f>
        <v>7336.469999999999</v>
      </c>
      <c r="C20" s="361" t="s">
        <v>367</v>
      </c>
      <c r="D20" s="214"/>
      <c r="E20" s="276"/>
      <c r="F20" s="236"/>
      <c r="G20" s="230"/>
      <c r="H20" s="228"/>
      <c r="I20" s="213"/>
      <c r="J20" s="235"/>
      <c r="K20" s="246"/>
    </row>
    <row r="21" spans="1:11" ht="33.75" customHeight="1">
      <c r="A21" s="367"/>
      <c r="B21" s="360"/>
      <c r="C21" s="416"/>
      <c r="D21" s="249"/>
      <c r="E21" s="261"/>
      <c r="F21" s="236"/>
      <c r="G21" s="230"/>
      <c r="H21" s="228"/>
      <c r="I21" s="228"/>
      <c r="J21" s="235"/>
      <c r="K21" s="246"/>
    </row>
    <row r="22" spans="1:114" s="245" customFormat="1" ht="28.5" customHeight="1">
      <c r="A22" s="229" t="s">
        <v>20</v>
      </c>
      <c r="B22" s="238">
        <f>B20</f>
        <v>7336.469999999999</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50.25" customHeight="1">
      <c r="A23" s="366" t="s">
        <v>379</v>
      </c>
      <c r="B23" s="359">
        <v>2940</v>
      </c>
      <c r="C23" s="361" t="s">
        <v>416</v>
      </c>
      <c r="D23" s="262">
        <v>610</v>
      </c>
      <c r="E23" s="313" t="s">
        <v>412</v>
      </c>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610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24" customHeight="1">
      <c r="A26" s="366" t="s">
        <v>380</v>
      </c>
      <c r="B26" s="359">
        <v>697</v>
      </c>
      <c r="C26" s="361" t="s">
        <v>418</v>
      </c>
      <c r="D26" s="357">
        <v>23114.6</v>
      </c>
      <c r="E26" s="415" t="s">
        <v>412</v>
      </c>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415"/>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23114.6</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381</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80.25" customHeight="1">
      <c r="A33" s="365" t="s">
        <v>382</v>
      </c>
      <c r="B33" s="369">
        <f>24050+1000</f>
        <v>25050</v>
      </c>
      <c r="C33" s="370" t="s">
        <v>419</v>
      </c>
      <c r="D33" s="262">
        <v>783</v>
      </c>
      <c r="E33" s="214" t="s">
        <v>373</v>
      </c>
      <c r="F33" s="251"/>
      <c r="G33" s="230"/>
      <c r="H33" s="207"/>
      <c r="I33" s="207"/>
      <c r="J33" s="235"/>
    </row>
    <row r="34" spans="1:10" ht="37.5" customHeight="1">
      <c r="A34" s="365"/>
      <c r="B34" s="369"/>
      <c r="C34" s="370"/>
      <c r="D34" s="262">
        <v>17335.95</v>
      </c>
      <c r="E34" s="315" t="s">
        <v>412</v>
      </c>
      <c r="F34" s="251"/>
      <c r="G34" s="230"/>
      <c r="H34" s="207"/>
      <c r="I34" s="207"/>
      <c r="J34" s="235"/>
    </row>
    <row r="35" spans="1:114" s="245" customFormat="1" ht="27.75" customHeight="1">
      <c r="A35" s="229" t="s">
        <v>20</v>
      </c>
      <c r="B35" s="238">
        <f>SUM(B33:B34)</f>
        <v>25050</v>
      </c>
      <c r="C35" s="146"/>
      <c r="D35" s="221">
        <f>D34+D33</f>
        <v>18118.95</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3.25" customHeight="1">
      <c r="A36" s="365" t="s">
        <v>383</v>
      </c>
      <c r="B36" s="369">
        <f>179.8+747</f>
        <v>926.8</v>
      </c>
      <c r="C36" s="361" t="s">
        <v>420</v>
      </c>
      <c r="D36" s="411">
        <v>23114.6</v>
      </c>
      <c r="E36" s="413" t="s">
        <v>412</v>
      </c>
      <c r="F36" s="251"/>
      <c r="G36" s="230"/>
      <c r="H36" s="207"/>
      <c r="I36" s="207"/>
      <c r="J36" s="235"/>
    </row>
    <row r="37" spans="1:10" ht="26.25" customHeight="1">
      <c r="A37" s="365"/>
      <c r="B37" s="369"/>
      <c r="C37" s="375"/>
      <c r="D37" s="412"/>
      <c r="E37" s="414"/>
      <c r="F37" s="251"/>
      <c r="G37" s="230"/>
      <c r="H37" s="207"/>
      <c r="I37" s="207"/>
      <c r="J37" s="235"/>
    </row>
    <row r="38" spans="1:114" s="245" customFormat="1" ht="36" customHeight="1">
      <c r="A38" s="229" t="s">
        <v>20</v>
      </c>
      <c r="B38" s="238">
        <f>SUM(B36:B37)</f>
        <v>926.8</v>
      </c>
      <c r="C38" s="362"/>
      <c r="D38" s="221">
        <f>D37+D36</f>
        <v>23114.6</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73.5"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757+675+552</f>
        <v>1984</v>
      </c>
      <c r="C42" s="361" t="s">
        <v>368</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1984</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421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40.5" customHeight="1">
      <c r="A46" s="367"/>
      <c r="B46" s="360"/>
      <c r="C46" s="362"/>
      <c r="D46" s="214">
        <v>17335.95</v>
      </c>
      <c r="E46" s="316" t="s">
        <v>412</v>
      </c>
      <c r="F46" s="152"/>
      <c r="G46" s="230"/>
      <c r="H46" s="207"/>
      <c r="I46" s="207"/>
      <c r="J46" s="235"/>
    </row>
    <row r="47" spans="1:114" s="245" customFormat="1" ht="31.5" customHeight="1">
      <c r="A47" s="229" t="s">
        <v>20</v>
      </c>
      <c r="B47" s="238">
        <f>SUM(B45)</f>
        <v>1330</v>
      </c>
      <c r="C47" s="215"/>
      <c r="D47" s="220">
        <f>D46+D45</f>
        <v>17339.95</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123047.21000000002</v>
      </c>
      <c r="C63" s="147"/>
      <c r="D63" s="254">
        <f>D62+D59+D56+D53+D50+D47+D44+D41+D38+D35+D32+D29+D25+D22+D19+D17+D14</f>
        <v>94638.40000000001</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v>1470</v>
      </c>
      <c r="C64" s="361" t="s">
        <v>372</v>
      </c>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1470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v>1040</v>
      </c>
      <c r="C67" s="361" t="s">
        <v>372</v>
      </c>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1040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33.75" customHeight="1">
      <c r="A70" s="365" t="s">
        <v>386</v>
      </c>
      <c r="B70" s="369">
        <f>1960</f>
        <v>1960</v>
      </c>
      <c r="C70" s="387" t="s">
        <v>410</v>
      </c>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55.5" customHeight="1">
      <c r="A71" s="365"/>
      <c r="B71" s="369"/>
      <c r="C71" s="388"/>
      <c r="D71" s="262">
        <v>163682.46</v>
      </c>
      <c r="E71" s="314" t="s">
        <v>404</v>
      </c>
      <c r="F71" s="384"/>
      <c r="G71" s="386"/>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365"/>
      <c r="B72" s="369"/>
      <c r="C72" s="388"/>
      <c r="D72" s="262">
        <v>75366</v>
      </c>
      <c r="E72" s="313" t="s">
        <v>407</v>
      </c>
      <c r="F72" s="384"/>
      <c r="G72" s="386"/>
      <c r="H72" s="162"/>
      <c r="I72" s="213"/>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5.5" customHeight="1">
      <c r="A73" s="365"/>
      <c r="B73" s="369"/>
      <c r="C73" s="388"/>
      <c r="D73" s="262">
        <v>25080</v>
      </c>
      <c r="E73" s="314" t="s">
        <v>408</v>
      </c>
      <c r="F73" s="384"/>
      <c r="G73" s="386"/>
      <c r="H73" s="162"/>
      <c r="I73" s="213"/>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5.5" customHeight="1">
      <c r="A74" s="365"/>
      <c r="B74" s="369"/>
      <c r="C74" s="388"/>
      <c r="D74" s="262">
        <v>109200</v>
      </c>
      <c r="E74" s="314" t="s">
        <v>409</v>
      </c>
      <c r="F74" s="384"/>
      <c r="G74" s="386"/>
      <c r="H74" s="162"/>
      <c r="I74" s="213"/>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114" s="245" customFormat="1" ht="24.75" customHeight="1">
      <c r="A75" s="365"/>
      <c r="B75" s="369"/>
      <c r="C75" s="389"/>
      <c r="D75" s="261">
        <v>783</v>
      </c>
      <c r="E75" s="276" t="s">
        <v>373</v>
      </c>
      <c r="F75" s="385"/>
      <c r="G75" s="377"/>
      <c r="H75" s="162"/>
      <c r="I75" s="213"/>
      <c r="J75" s="242"/>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row>
    <row r="76" spans="1:114" s="245" customFormat="1" ht="27.75" customHeight="1">
      <c r="A76" s="229" t="s">
        <v>20</v>
      </c>
      <c r="B76" s="238">
        <f>B70</f>
        <v>1960</v>
      </c>
      <c r="C76" s="146"/>
      <c r="D76" s="220">
        <f>SUM(D70:D75)</f>
        <v>374115.45999999996</v>
      </c>
      <c r="E76" s="221"/>
      <c r="F76" s="250">
        <f>F70</f>
        <v>0</v>
      </c>
      <c r="G76" s="240"/>
      <c r="H76" s="159">
        <f>SUM(H70:H75)</f>
        <v>0</v>
      </c>
      <c r="I76" s="231"/>
      <c r="J76" s="242"/>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4" customHeight="1">
      <c r="A77" s="366" t="s">
        <v>38</v>
      </c>
      <c r="B77" s="359">
        <v>1980</v>
      </c>
      <c r="C77" s="387" t="s">
        <v>387</v>
      </c>
      <c r="D77" s="214"/>
      <c r="E77" s="214"/>
      <c r="F77" s="383"/>
      <c r="G77" s="376"/>
      <c r="H77" s="159"/>
      <c r="I77" s="231"/>
      <c r="J77" s="242"/>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1.75" customHeight="1">
      <c r="A78" s="372"/>
      <c r="B78" s="373"/>
      <c r="C78" s="388"/>
      <c r="D78" s="261"/>
      <c r="E78" s="276"/>
      <c r="F78" s="384"/>
      <c r="G78" s="386"/>
      <c r="H78" s="207"/>
      <c r="I78" s="207"/>
      <c r="J78" s="242"/>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9" ht="2.25" customHeight="1" hidden="1">
      <c r="A79" s="367"/>
      <c r="B79" s="360"/>
      <c r="C79" s="389"/>
      <c r="D79" s="261"/>
      <c r="E79" s="287"/>
      <c r="F79" s="385"/>
      <c r="G79" s="377"/>
      <c r="H79" s="259"/>
      <c r="I79" s="207"/>
    </row>
    <row r="80" spans="1:114" s="245" customFormat="1" ht="19.5" customHeight="1">
      <c r="A80" s="229" t="s">
        <v>20</v>
      </c>
      <c r="B80" s="238">
        <f>SUM(B77:B77)</f>
        <v>1980</v>
      </c>
      <c r="C80" s="146"/>
      <c r="D80" s="308">
        <f>SUM(D77:D79)</f>
        <v>0</v>
      </c>
      <c r="E80" s="288"/>
      <c r="F80" s="250">
        <f>F77</f>
        <v>0</v>
      </c>
      <c r="G80" s="240"/>
      <c r="H80" s="158">
        <f>SUM(H78:H79)</f>
        <v>0</v>
      </c>
      <c r="I80" s="231"/>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38.25" customHeight="1">
      <c r="A81" s="366" t="s">
        <v>322</v>
      </c>
      <c r="B81" s="359"/>
      <c r="C81" s="387" t="s">
        <v>388</v>
      </c>
      <c r="D81" s="286">
        <v>783</v>
      </c>
      <c r="E81" s="214" t="s">
        <v>373</v>
      </c>
      <c r="F81" s="383"/>
      <c r="G81" s="376"/>
      <c r="H81" s="158"/>
      <c r="I81" s="231"/>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21.75" customHeight="1">
      <c r="A82" s="367"/>
      <c r="B82" s="360"/>
      <c r="C82" s="389"/>
      <c r="D82" s="261"/>
      <c r="E82" s="287"/>
      <c r="F82" s="385"/>
      <c r="G82" s="377"/>
      <c r="H82" s="260"/>
      <c r="I82" s="260"/>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6.25" customHeight="1">
      <c r="A83" s="229" t="s">
        <v>20</v>
      </c>
      <c r="B83" s="238">
        <f>SUM(B81:B82)</f>
        <v>0</v>
      </c>
      <c r="C83" s="147"/>
      <c r="D83" s="221">
        <f>SUM(D81:D82)</f>
        <v>783</v>
      </c>
      <c r="E83" s="221"/>
      <c r="F83" s="160">
        <f>F81</f>
        <v>0</v>
      </c>
      <c r="G83" s="240"/>
      <c r="H83" s="158">
        <f>SUM(H81:H82)</f>
        <v>0</v>
      </c>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114" s="245" customFormat="1" ht="32.25" customHeight="1">
      <c r="A84" s="366" t="s">
        <v>321</v>
      </c>
      <c r="B84" s="390"/>
      <c r="C84" s="217" t="s">
        <v>388</v>
      </c>
      <c r="D84" s="287">
        <v>783</v>
      </c>
      <c r="E84" s="214" t="s">
        <v>373</v>
      </c>
      <c r="F84" s="393"/>
      <c r="G84" s="376"/>
      <c r="H84" s="259"/>
      <c r="I84" s="207"/>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c r="CO84" s="244"/>
      <c r="CP84" s="244"/>
      <c r="CQ84" s="244"/>
      <c r="CR84" s="244"/>
      <c r="CS84" s="244"/>
      <c r="CT84" s="244"/>
      <c r="CU84" s="244"/>
      <c r="CV84" s="244"/>
      <c r="CW84" s="244"/>
      <c r="CX84" s="244"/>
      <c r="CY84" s="244"/>
      <c r="CZ84" s="244"/>
      <c r="DA84" s="244"/>
      <c r="DB84" s="244"/>
      <c r="DC84" s="244"/>
      <c r="DD84" s="244"/>
      <c r="DE84" s="244"/>
      <c r="DF84" s="244"/>
      <c r="DG84" s="244"/>
      <c r="DH84" s="244"/>
      <c r="DI84" s="244"/>
      <c r="DJ84" s="244"/>
    </row>
    <row r="85" spans="1:114" s="245" customFormat="1" ht="16.5" customHeight="1">
      <c r="A85" s="367"/>
      <c r="B85" s="392"/>
      <c r="C85" s="215"/>
      <c r="D85" s="261"/>
      <c r="E85" s="262"/>
      <c r="F85" s="395"/>
      <c r="G85" s="377"/>
      <c r="H85" s="158"/>
      <c r="I85" s="231"/>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c r="CO85" s="244"/>
      <c r="CP85" s="244"/>
      <c r="CQ85" s="244"/>
      <c r="CR85" s="244"/>
      <c r="CS85" s="244"/>
      <c r="CT85" s="244"/>
      <c r="CU85" s="244"/>
      <c r="CV85" s="244"/>
      <c r="CW85" s="244"/>
      <c r="CX85" s="244"/>
      <c r="CY85" s="244"/>
      <c r="CZ85" s="244"/>
      <c r="DA85" s="244"/>
      <c r="DB85" s="244"/>
      <c r="DC85" s="244"/>
      <c r="DD85" s="244"/>
      <c r="DE85" s="244"/>
      <c r="DF85" s="244"/>
      <c r="DG85" s="244"/>
      <c r="DH85" s="244"/>
      <c r="DI85" s="244"/>
      <c r="DJ85" s="244"/>
    </row>
    <row r="86" spans="1:114" s="245" customFormat="1" ht="24" customHeight="1">
      <c r="A86" s="229" t="s">
        <v>20</v>
      </c>
      <c r="B86" s="238">
        <f>SUM(B84:B85)</f>
        <v>0</v>
      </c>
      <c r="C86" s="147"/>
      <c r="D86" s="220">
        <f>SUM(D84:D85)</f>
        <v>783</v>
      </c>
      <c r="E86" s="221"/>
      <c r="F86" s="160">
        <f>F84</f>
        <v>0</v>
      </c>
      <c r="G86" s="240"/>
      <c r="H86" s="158">
        <f>SUM(H84:H85)</f>
        <v>0</v>
      </c>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9" ht="36" customHeight="1">
      <c r="A87" s="366" t="s">
        <v>389</v>
      </c>
      <c r="B87" s="359">
        <f>415+2020</f>
        <v>2435</v>
      </c>
      <c r="C87" s="370" t="s">
        <v>392</v>
      </c>
      <c r="D87" s="262">
        <v>783</v>
      </c>
      <c r="E87" s="261" t="s">
        <v>390</v>
      </c>
      <c r="F87" s="396"/>
      <c r="G87" s="376"/>
      <c r="H87" s="152"/>
      <c r="I87" s="207"/>
    </row>
    <row r="88" spans="1:9" ht="39.75" customHeight="1">
      <c r="A88" s="367"/>
      <c r="B88" s="360"/>
      <c r="C88" s="370"/>
      <c r="D88" s="262">
        <v>4</v>
      </c>
      <c r="E88" s="307" t="s">
        <v>364</v>
      </c>
      <c r="F88" s="398"/>
      <c r="G88" s="377"/>
      <c r="H88" s="152"/>
      <c r="I88" s="207"/>
    </row>
    <row r="89" spans="1:114" s="245" customFormat="1" ht="22.5" customHeight="1">
      <c r="A89" s="229" t="s">
        <v>20</v>
      </c>
      <c r="B89" s="252">
        <f>SUM(B87:B87)</f>
        <v>2435</v>
      </c>
      <c r="C89" s="370"/>
      <c r="D89" s="220">
        <f>D88+D87</f>
        <v>787</v>
      </c>
      <c r="E89" s="221"/>
      <c r="F89" s="160">
        <f>F87</f>
        <v>0</v>
      </c>
      <c r="G89" s="240"/>
      <c r="H89" s="250">
        <f>H87</f>
        <v>0</v>
      </c>
      <c r="I89" s="231"/>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row>
    <row r="90" spans="1:114" s="245" customFormat="1" ht="174.75" customHeight="1" hidden="1">
      <c r="A90" s="229" t="s">
        <v>20</v>
      </c>
      <c r="B90" s="238">
        <f>SUM(B87:B89)</f>
        <v>4870</v>
      </c>
      <c r="C90" s="146"/>
      <c r="D90" s="221"/>
      <c r="E90" s="220"/>
      <c r="F90" s="159"/>
      <c r="G90" s="240"/>
      <c r="H90" s="158"/>
      <c r="I90" s="158"/>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row>
    <row r="91" spans="1:114" s="245" customFormat="1" ht="16.5" customHeight="1" hidden="1">
      <c r="A91" s="263" t="s">
        <v>37</v>
      </c>
      <c r="B91" s="264">
        <v>10999</v>
      </c>
      <c r="C91" s="215" t="s">
        <v>52</v>
      </c>
      <c r="D91" s="221"/>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9" ht="17.25" customHeight="1" hidden="1">
      <c r="A92" s="263" t="s">
        <v>37</v>
      </c>
      <c r="B92" s="264">
        <v>1219</v>
      </c>
      <c r="C92" s="215" t="s">
        <v>43</v>
      </c>
      <c r="D92" s="262"/>
      <c r="E92" s="220"/>
      <c r="F92" s="162"/>
      <c r="G92" s="230"/>
      <c r="H92" s="259"/>
      <c r="I92" s="207"/>
    </row>
    <row r="93" spans="1:114" s="245" customFormat="1" ht="16.5" customHeight="1" hidden="1">
      <c r="A93" s="229" t="s">
        <v>20</v>
      </c>
      <c r="B93" s="238">
        <f>SUM(B91:B92)</f>
        <v>12218</v>
      </c>
      <c r="C93" s="146"/>
      <c r="D93" s="221"/>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6.5" customHeight="1" hidden="1">
      <c r="A94" s="263" t="s">
        <v>30</v>
      </c>
      <c r="B94" s="261">
        <v>3133</v>
      </c>
      <c r="C94" s="215" t="s">
        <v>44</v>
      </c>
      <c r="D94" s="262"/>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8.75" customHeight="1" hidden="1">
      <c r="A95" s="263" t="s">
        <v>30</v>
      </c>
      <c r="B95" s="261">
        <v>120</v>
      </c>
      <c r="C95" s="215" t="s">
        <v>36</v>
      </c>
      <c r="D95" s="262"/>
      <c r="E95" s="220"/>
      <c r="F95" s="159"/>
      <c r="G95" s="240"/>
      <c r="H95" s="158"/>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8.75" customHeight="1" hidden="1">
      <c r="A96" s="263" t="s">
        <v>30</v>
      </c>
      <c r="B96" s="261">
        <v>210</v>
      </c>
      <c r="C96" s="215" t="s">
        <v>36</v>
      </c>
      <c r="D96" s="262"/>
      <c r="E96" s="220"/>
      <c r="F96" s="159"/>
      <c r="G96" s="240"/>
      <c r="H96" s="158"/>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114" s="245" customFormat="1" ht="16.5" customHeight="1" hidden="1">
      <c r="A97" s="229" t="s">
        <v>20</v>
      </c>
      <c r="B97" s="220">
        <f>SUM(B94:B96)</f>
        <v>3463</v>
      </c>
      <c r="C97" s="146"/>
      <c r="D97" s="221"/>
      <c r="E97" s="220"/>
      <c r="F97" s="159"/>
      <c r="G97" s="240"/>
      <c r="H97" s="158"/>
      <c r="I97" s="158"/>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row>
    <row r="98" spans="1:114" s="245" customFormat="1" ht="17.25" customHeight="1" hidden="1">
      <c r="A98" s="263" t="s">
        <v>31</v>
      </c>
      <c r="B98" s="265">
        <v>60</v>
      </c>
      <c r="C98" s="215" t="s">
        <v>48</v>
      </c>
      <c r="D98" s="265">
        <v>149639.87</v>
      </c>
      <c r="E98" s="289" t="s">
        <v>47</v>
      </c>
      <c r="F98" s="156"/>
      <c r="G98" s="240"/>
      <c r="H98" s="263"/>
      <c r="I98" s="158"/>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row>
    <row r="99" spans="1:114" s="245" customFormat="1" ht="17.25" customHeight="1" hidden="1">
      <c r="A99" s="263" t="s">
        <v>31</v>
      </c>
      <c r="B99" s="265">
        <v>3951.33</v>
      </c>
      <c r="C99" s="215" t="s">
        <v>51</v>
      </c>
      <c r="D99" s="265"/>
      <c r="E99" s="289"/>
      <c r="F99" s="156"/>
      <c r="G99" s="240"/>
      <c r="H99" s="263"/>
      <c r="I99" s="158"/>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9" ht="30" customHeight="1">
      <c r="A100" s="366" t="s">
        <v>37</v>
      </c>
      <c r="B100" s="359">
        <f>13985+3626.7+1730</f>
        <v>19341.7</v>
      </c>
      <c r="C100" s="361" t="s">
        <v>393</v>
      </c>
      <c r="D100" s="262">
        <v>783</v>
      </c>
      <c r="E100" s="261" t="s">
        <v>390</v>
      </c>
      <c r="F100" s="396"/>
      <c r="G100" s="376"/>
      <c r="H100" s="259"/>
      <c r="I100" s="207"/>
    </row>
    <row r="101" spans="1:9" ht="33" customHeight="1">
      <c r="A101" s="367"/>
      <c r="B101" s="360"/>
      <c r="C101" s="375"/>
      <c r="D101" s="262">
        <v>4</v>
      </c>
      <c r="E101" s="307" t="s">
        <v>364</v>
      </c>
      <c r="F101" s="398"/>
      <c r="G101" s="377"/>
      <c r="H101" s="162"/>
      <c r="I101" s="213"/>
    </row>
    <row r="102" spans="1:114" s="245" customFormat="1" ht="25.5" customHeight="1">
      <c r="A102" s="229" t="s">
        <v>20</v>
      </c>
      <c r="B102" s="252">
        <f>SUM(B100:B100)</f>
        <v>19341.7</v>
      </c>
      <c r="C102" s="362"/>
      <c r="D102" s="220">
        <f>SUM(D100:D101)</f>
        <v>787</v>
      </c>
      <c r="E102" s="221"/>
      <c r="F102" s="160">
        <f>F100</f>
        <v>0</v>
      </c>
      <c r="G102" s="240"/>
      <c r="H102" s="158">
        <f>SUM(H100:H101)</f>
        <v>0</v>
      </c>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39" customHeight="1">
      <c r="A103" s="366" t="s">
        <v>391</v>
      </c>
      <c r="B103" s="359">
        <v>920</v>
      </c>
      <c r="C103" s="234" t="s">
        <v>394</v>
      </c>
      <c r="D103" s="287">
        <v>783</v>
      </c>
      <c r="E103" s="214" t="s">
        <v>390</v>
      </c>
      <c r="F103" s="396"/>
      <c r="G103" s="376"/>
      <c r="H103" s="259"/>
      <c r="I103" s="207"/>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16.5" customHeight="1">
      <c r="A104" s="367"/>
      <c r="B104" s="360"/>
      <c r="C104" s="215"/>
      <c r="D104" s="262"/>
      <c r="E104" s="261"/>
      <c r="F104" s="398"/>
      <c r="G104" s="377"/>
      <c r="H104" s="262"/>
      <c r="I104" s="299"/>
    </row>
    <row r="105" spans="1:114" s="245" customFormat="1" ht="25.5" customHeight="1">
      <c r="A105" s="229" t="s">
        <v>20</v>
      </c>
      <c r="B105" s="238">
        <f>SUM(B103:B103)</f>
        <v>920</v>
      </c>
      <c r="C105" s="147"/>
      <c r="D105" s="220">
        <f>D104+D103</f>
        <v>783</v>
      </c>
      <c r="E105" s="221"/>
      <c r="F105" s="160">
        <f>F103</f>
        <v>0</v>
      </c>
      <c r="G105" s="240"/>
      <c r="H105" s="158">
        <f>SUM(H103:H104)</f>
        <v>0</v>
      </c>
      <c r="I105" s="231"/>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row>
    <row r="106" spans="1:114" s="245" customFormat="1" ht="33.75" customHeight="1">
      <c r="A106" s="366" t="s">
        <v>395</v>
      </c>
      <c r="B106" s="359">
        <v>1760</v>
      </c>
      <c r="C106" s="409" t="s">
        <v>394</v>
      </c>
      <c r="D106" s="287">
        <v>1566</v>
      </c>
      <c r="E106" s="214" t="s">
        <v>390</v>
      </c>
      <c r="F106" s="396"/>
      <c r="G106" s="376"/>
      <c r="H106" s="259"/>
      <c r="I106" s="207"/>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9" ht="25.5" customHeight="1">
      <c r="A107" s="367"/>
      <c r="B107" s="360"/>
      <c r="C107" s="410"/>
      <c r="D107" s="262"/>
      <c r="E107" s="261"/>
      <c r="F107" s="398"/>
      <c r="G107" s="377"/>
      <c r="H107" s="259"/>
      <c r="I107" s="207"/>
    </row>
    <row r="108" spans="1:114" s="245" customFormat="1" ht="21" customHeight="1">
      <c r="A108" s="229" t="s">
        <v>20</v>
      </c>
      <c r="B108" s="238">
        <f>SUM(B106:B107)</f>
        <v>1760</v>
      </c>
      <c r="C108" s="147"/>
      <c r="D108" s="220">
        <f>D107+D106</f>
        <v>1566</v>
      </c>
      <c r="E108" s="221"/>
      <c r="F108" s="160">
        <f>F106</f>
        <v>0</v>
      </c>
      <c r="G108" s="240"/>
      <c r="H108" s="158">
        <f>SUM(H106:H107)</f>
        <v>0</v>
      </c>
      <c r="I108" s="231"/>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row>
    <row r="109" spans="1:114" s="245" customFormat="1" ht="0.75" customHeight="1" hidden="1">
      <c r="A109" s="365" t="s">
        <v>397</v>
      </c>
      <c r="B109" s="369">
        <f>110.7+9462.99+2080+701.3</f>
        <v>12354.99</v>
      </c>
      <c r="C109" s="215"/>
      <c r="D109" s="261"/>
      <c r="E109" s="290"/>
      <c r="F109" s="396"/>
      <c r="G109" s="376"/>
      <c r="H109" s="158"/>
      <c r="I109" s="231"/>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row>
    <row r="110" spans="1:114" s="245" customFormat="1" ht="33" customHeight="1">
      <c r="A110" s="365"/>
      <c r="B110" s="369"/>
      <c r="C110" s="366" t="s">
        <v>411</v>
      </c>
      <c r="D110" s="262">
        <v>4</v>
      </c>
      <c r="E110" s="307" t="s">
        <v>364</v>
      </c>
      <c r="F110" s="397"/>
      <c r="G110" s="386"/>
      <c r="H110" s="156"/>
      <c r="I110" s="213"/>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33" customHeight="1">
      <c r="A111" s="365"/>
      <c r="B111" s="369"/>
      <c r="C111" s="372"/>
      <c r="D111" s="262">
        <v>75042</v>
      </c>
      <c r="E111" s="313" t="s">
        <v>407</v>
      </c>
      <c r="F111" s="397"/>
      <c r="G111" s="386"/>
      <c r="H111" s="156"/>
      <c r="I111" s="213"/>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33" customHeight="1">
      <c r="A112" s="365"/>
      <c r="B112" s="369"/>
      <c r="C112" s="372"/>
      <c r="D112" s="262">
        <f>66840+20273+267360</f>
        <v>354473</v>
      </c>
      <c r="E112" s="314" t="s">
        <v>409</v>
      </c>
      <c r="F112" s="397"/>
      <c r="G112" s="386"/>
      <c r="H112" s="156"/>
      <c r="I112" s="213"/>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9" ht="35.25" customHeight="1">
      <c r="A113" s="365"/>
      <c r="B113" s="369"/>
      <c r="C113" s="367"/>
      <c r="D113" s="261">
        <v>783</v>
      </c>
      <c r="E113" s="261" t="s">
        <v>390</v>
      </c>
      <c r="F113" s="398"/>
      <c r="G113" s="377"/>
      <c r="H113" s="156"/>
      <c r="I113" s="213"/>
    </row>
    <row r="114" spans="1:114" s="245" customFormat="1" ht="24" customHeight="1">
      <c r="A114" s="229" t="s">
        <v>20</v>
      </c>
      <c r="B114" s="252">
        <f>SUM(B109:B109)</f>
        <v>12354.99</v>
      </c>
      <c r="C114" s="215"/>
      <c r="D114" s="220">
        <f>SUM(D110:D113)</f>
        <v>430302</v>
      </c>
      <c r="E114" s="262"/>
      <c r="F114" s="160">
        <f>F109</f>
        <v>0</v>
      </c>
      <c r="G114" s="240"/>
      <c r="H114" s="250">
        <f>SUM(H109:H113)</f>
        <v>0</v>
      </c>
      <c r="I114" s="231"/>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37.5" customHeight="1">
      <c r="A115" s="365" t="s">
        <v>58</v>
      </c>
      <c r="B115" s="359"/>
      <c r="C115" s="361" t="s">
        <v>388</v>
      </c>
      <c r="D115" s="261">
        <v>783</v>
      </c>
      <c r="E115" s="262" t="s">
        <v>390</v>
      </c>
      <c r="F115" s="393"/>
      <c r="G115" s="376"/>
      <c r="H115" s="259"/>
      <c r="I115" s="207"/>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15.75" customHeight="1">
      <c r="A116" s="365"/>
      <c r="B116" s="360"/>
      <c r="C116" s="362"/>
      <c r="D116" s="287"/>
      <c r="E116" s="214"/>
      <c r="F116" s="395"/>
      <c r="G116" s="377"/>
      <c r="H116" s="263"/>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19.5" customHeight="1">
      <c r="A117" s="229" t="s">
        <v>20</v>
      </c>
      <c r="B117" s="266">
        <f>B115</f>
        <v>0</v>
      </c>
      <c r="C117" s="146"/>
      <c r="D117" s="266">
        <f>SUM(D115:D116)</f>
        <v>783</v>
      </c>
      <c r="E117" s="220"/>
      <c r="F117" s="159">
        <f>F115</f>
        <v>0</v>
      </c>
      <c r="G117" s="240"/>
      <c r="H117" s="158">
        <f>SUM(H115:H116)</f>
        <v>0</v>
      </c>
      <c r="I117" s="158"/>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32.25" customHeight="1">
      <c r="A118" s="366" t="s">
        <v>320</v>
      </c>
      <c r="B118" s="402"/>
      <c r="C118" s="215" t="s">
        <v>388</v>
      </c>
      <c r="D118" s="265">
        <v>783</v>
      </c>
      <c r="E118" s="262" t="s">
        <v>398</v>
      </c>
      <c r="F118" s="393"/>
      <c r="G118" s="376"/>
      <c r="H118" s="158"/>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4.25" customHeight="1">
      <c r="A119" s="372"/>
      <c r="B119" s="403"/>
      <c r="C119" s="303"/>
      <c r="D119" s="261"/>
      <c r="E119" s="276"/>
      <c r="F119" s="395"/>
      <c r="G119" s="377"/>
      <c r="H119" s="263"/>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21" customHeight="1">
      <c r="A120" s="229" t="s">
        <v>20</v>
      </c>
      <c r="B120" s="266">
        <f>SUM(B118)</f>
        <v>0</v>
      </c>
      <c r="C120" s="146"/>
      <c r="D120" s="266">
        <f>SUM(D118:D119)</f>
        <v>783</v>
      </c>
      <c r="E120" s="220"/>
      <c r="F120" s="159">
        <f>F118</f>
        <v>0</v>
      </c>
      <c r="G120" s="240"/>
      <c r="H120" s="158">
        <f>SUM(H118:H119)</f>
        <v>0</v>
      </c>
      <c r="I120" s="158"/>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27.75" customHeight="1">
      <c r="A121" s="365" t="s">
        <v>399</v>
      </c>
      <c r="B121" s="402">
        <v>2180</v>
      </c>
      <c r="C121" s="361" t="s">
        <v>370</v>
      </c>
      <c r="D121" s="261">
        <v>2</v>
      </c>
      <c r="E121" s="411" t="s">
        <v>332</v>
      </c>
      <c r="F121" s="393"/>
      <c r="G121" s="376"/>
      <c r="H121" s="261"/>
      <c r="I121" s="299"/>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17.25" customHeight="1">
      <c r="A122" s="365"/>
      <c r="B122" s="404"/>
      <c r="C122" s="362"/>
      <c r="D122" s="287"/>
      <c r="E122" s="417"/>
      <c r="F122" s="395"/>
      <c r="G122" s="377"/>
      <c r="H122" s="158"/>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19.5" customHeight="1">
      <c r="A123" s="229" t="s">
        <v>20</v>
      </c>
      <c r="B123" s="220">
        <f>SUM(B121)</f>
        <v>2180</v>
      </c>
      <c r="C123" s="146"/>
      <c r="D123" s="221">
        <f>SUM(D121:D122)</f>
        <v>2</v>
      </c>
      <c r="E123" s="412"/>
      <c r="F123" s="159">
        <f>F121</f>
        <v>0</v>
      </c>
      <c r="G123" s="240"/>
      <c r="H123" s="158">
        <f>SUM(H121:H122)</f>
        <v>0</v>
      </c>
      <c r="I123" s="158"/>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21" customHeight="1">
      <c r="A124" s="366" t="s">
        <v>59</v>
      </c>
      <c r="B124" s="402">
        <v>1960</v>
      </c>
      <c r="C124" s="218" t="s">
        <v>372</v>
      </c>
      <c r="D124" s="261"/>
      <c r="E124" s="292"/>
      <c r="F124" s="393"/>
      <c r="G124" s="376"/>
      <c r="H124" s="259"/>
      <c r="I124" s="207"/>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15" customHeight="1">
      <c r="A125" s="367"/>
      <c r="B125" s="404"/>
      <c r="C125" s="215"/>
      <c r="D125" s="287"/>
      <c r="E125" s="214"/>
      <c r="F125" s="395"/>
      <c r="G125" s="377"/>
      <c r="H125" s="158"/>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9.5" customHeight="1">
      <c r="A126" s="229" t="s">
        <v>20</v>
      </c>
      <c r="B126" s="220">
        <f>B124</f>
        <v>1960</v>
      </c>
      <c r="C126" s="146"/>
      <c r="D126" s="221">
        <f>D124+D125</f>
        <v>0</v>
      </c>
      <c r="E126" s="261"/>
      <c r="F126" s="159">
        <f>F124</f>
        <v>0</v>
      </c>
      <c r="G126" s="240"/>
      <c r="H126" s="158">
        <f>SUM(H124:H125)</f>
        <v>0</v>
      </c>
      <c r="I126" s="158"/>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30.75" customHeight="1">
      <c r="A127" s="366" t="s">
        <v>323</v>
      </c>
      <c r="B127" s="402"/>
      <c r="C127" s="387" t="s">
        <v>388</v>
      </c>
      <c r="D127" s="262">
        <v>783</v>
      </c>
      <c r="E127" s="280" t="s">
        <v>390</v>
      </c>
      <c r="F127" s="393"/>
      <c r="G127" s="405"/>
      <c r="H127" s="259"/>
      <c r="I127" s="207"/>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16.5" customHeight="1">
      <c r="A128" s="367"/>
      <c r="B128" s="404"/>
      <c r="C128" s="389"/>
      <c r="D128" s="287"/>
      <c r="E128" s="214"/>
      <c r="F128" s="395"/>
      <c r="G128" s="406"/>
      <c r="H128" s="158"/>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1.75" customHeight="1">
      <c r="A129" s="229" t="s">
        <v>20</v>
      </c>
      <c r="B129" s="220">
        <f>B127</f>
        <v>0</v>
      </c>
      <c r="C129" s="146"/>
      <c r="D129" s="221">
        <f>D128+D127</f>
        <v>783</v>
      </c>
      <c r="E129" s="261"/>
      <c r="F129" s="159">
        <f>F127</f>
        <v>0</v>
      </c>
      <c r="G129" s="240"/>
      <c r="H129" s="158">
        <f>SUM(H127:H128)</f>
        <v>0</v>
      </c>
      <c r="I129" s="158"/>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18.75" customHeight="1">
      <c r="A130" s="366" t="s">
        <v>400</v>
      </c>
      <c r="B130" s="402">
        <v>1670</v>
      </c>
      <c r="C130" s="219" t="s">
        <v>372</v>
      </c>
      <c r="D130" s="287"/>
      <c r="E130" s="214"/>
      <c r="F130" s="393"/>
      <c r="G130" s="376"/>
      <c r="H130" s="261"/>
      <c r="I130" s="299"/>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15.75">
      <c r="A131" s="367"/>
      <c r="B131" s="404"/>
      <c r="C131" s="215"/>
      <c r="D131" s="261"/>
      <c r="E131" s="261"/>
      <c r="F131" s="395"/>
      <c r="G131" s="377"/>
      <c r="H131" s="158"/>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19.5" customHeight="1">
      <c r="A132" s="229" t="s">
        <v>20</v>
      </c>
      <c r="B132" s="220">
        <f>SUM(B130)</f>
        <v>1670</v>
      </c>
      <c r="C132" s="146"/>
      <c r="D132" s="221">
        <f>D131+D130</f>
        <v>0</v>
      </c>
      <c r="E132" s="261"/>
      <c r="F132" s="159">
        <f>F130</f>
        <v>0</v>
      </c>
      <c r="G132" s="240"/>
      <c r="H132" s="158">
        <f>SUM(H130:H131)</f>
        <v>0</v>
      </c>
      <c r="I132" s="158"/>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20.25" customHeight="1" hidden="1">
      <c r="A133" s="366" t="s">
        <v>61</v>
      </c>
      <c r="B133" s="402"/>
      <c r="C133" s="387"/>
      <c r="D133" s="287"/>
      <c r="E133" s="214"/>
      <c r="F133" s="393"/>
      <c r="G133" s="376"/>
      <c r="H133" s="259"/>
      <c r="I133" s="207"/>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0.75" customHeight="1" hidden="1">
      <c r="A134" s="372"/>
      <c r="B134" s="403"/>
      <c r="C134" s="389"/>
      <c r="D134" s="293"/>
      <c r="E134" s="293"/>
      <c r="F134" s="394"/>
      <c r="G134" s="386"/>
      <c r="H134" s="158"/>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0.25" customHeight="1" hidden="1">
      <c r="A135" s="367"/>
      <c r="B135" s="404"/>
      <c r="C135" s="215"/>
      <c r="D135" s="261"/>
      <c r="E135" s="280"/>
      <c r="F135" s="395"/>
      <c r="G135" s="377"/>
      <c r="H135" s="158"/>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19.5" customHeight="1" hidden="1">
      <c r="A136" s="229" t="s">
        <v>20</v>
      </c>
      <c r="B136" s="220">
        <f>SUM(B133)</f>
        <v>0</v>
      </c>
      <c r="C136" s="146"/>
      <c r="D136" s="221">
        <f>SUM(D133:D135)</f>
        <v>0</v>
      </c>
      <c r="E136" s="261"/>
      <c r="F136" s="159">
        <f>F133</f>
        <v>0</v>
      </c>
      <c r="G136" s="240"/>
      <c r="H136" s="158">
        <f>SUM(H133:H135)</f>
        <v>0</v>
      </c>
      <c r="I136" s="158"/>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25.5" customHeight="1">
      <c r="A137" s="365" t="s">
        <v>62</v>
      </c>
      <c r="B137" s="408">
        <v>3400</v>
      </c>
      <c r="C137" s="217" t="s">
        <v>372</v>
      </c>
      <c r="D137" s="287">
        <v>3629.28</v>
      </c>
      <c r="E137" s="411" t="s">
        <v>341</v>
      </c>
      <c r="F137" s="393"/>
      <c r="G137" s="376"/>
      <c r="H137" s="259"/>
      <c r="I137" s="207"/>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9.5" customHeight="1">
      <c r="A138" s="365"/>
      <c r="B138" s="408"/>
      <c r="C138" s="215"/>
      <c r="D138" s="261"/>
      <c r="E138" s="417"/>
      <c r="F138" s="395"/>
      <c r="G138" s="377"/>
      <c r="H138" s="158"/>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21" customHeight="1">
      <c r="A139" s="229" t="s">
        <v>20</v>
      </c>
      <c r="B139" s="220">
        <f>SUM(B137)</f>
        <v>3400</v>
      </c>
      <c r="C139" s="146"/>
      <c r="D139" s="221">
        <f>SUM(D137:D138)</f>
        <v>3629.28</v>
      </c>
      <c r="E139" s="412"/>
      <c r="F139" s="159">
        <f>F137</f>
        <v>0</v>
      </c>
      <c r="G139" s="240"/>
      <c r="H139" s="158">
        <f>SUM(H137:H138)</f>
        <v>0</v>
      </c>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27.75" customHeight="1">
      <c r="A140" s="366" t="s">
        <v>46</v>
      </c>
      <c r="B140" s="402"/>
      <c r="C140" s="215" t="s">
        <v>388</v>
      </c>
      <c r="D140" s="261">
        <v>783</v>
      </c>
      <c r="E140" s="280" t="s">
        <v>390</v>
      </c>
      <c r="F140" s="393"/>
      <c r="G140" s="376"/>
      <c r="H140" s="259"/>
      <c r="I140" s="207"/>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18" customHeight="1">
      <c r="A141" s="367"/>
      <c r="B141" s="404"/>
      <c r="C141" s="302"/>
      <c r="D141" s="261"/>
      <c r="E141" s="262"/>
      <c r="F141" s="395"/>
      <c r="G141" s="377"/>
      <c r="H141" s="158"/>
      <c r="I141" s="158"/>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18.75" customHeight="1">
      <c r="A142" s="229" t="s">
        <v>20</v>
      </c>
      <c r="B142" s="220">
        <f>B140</f>
        <v>0</v>
      </c>
      <c r="C142" s="146"/>
      <c r="D142" s="221">
        <f>D141+D140</f>
        <v>783</v>
      </c>
      <c r="E142" s="220"/>
      <c r="F142" s="159">
        <f>F140</f>
        <v>0</v>
      </c>
      <c r="G142" s="240"/>
      <c r="H142" s="158">
        <f>SUM(H140:H141)</f>
        <v>0</v>
      </c>
      <c r="I142" s="158"/>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48" customHeight="1">
      <c r="A143" s="366" t="s">
        <v>63</v>
      </c>
      <c r="B143" s="402">
        <f>6799+2490</f>
        <v>9289</v>
      </c>
      <c r="C143" s="215" t="s">
        <v>401</v>
      </c>
      <c r="D143" s="261">
        <v>1</v>
      </c>
      <c r="E143" s="310" t="s">
        <v>332</v>
      </c>
      <c r="F143" s="393"/>
      <c r="G143" s="376"/>
      <c r="H143" s="158"/>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31.5" customHeight="1">
      <c r="A144" s="367"/>
      <c r="B144" s="404"/>
      <c r="C144" s="215"/>
      <c r="D144" s="286">
        <v>783</v>
      </c>
      <c r="E144" s="280" t="s">
        <v>390</v>
      </c>
      <c r="F144" s="395"/>
      <c r="G144" s="377"/>
      <c r="H144" s="261"/>
      <c r="I144" s="301"/>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3.25" customHeight="1">
      <c r="A145" s="229" t="s">
        <v>20</v>
      </c>
      <c r="B145" s="220">
        <f>B143</f>
        <v>9289</v>
      </c>
      <c r="C145" s="146"/>
      <c r="D145" s="221">
        <f>D144+D143</f>
        <v>784</v>
      </c>
      <c r="E145" s="311"/>
      <c r="F145" s="159">
        <f>F143</f>
        <v>0</v>
      </c>
      <c r="G145" s="240"/>
      <c r="H145" s="158">
        <f>SUM(H143:H144)</f>
        <v>0</v>
      </c>
      <c r="I145" s="158"/>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29.25" customHeight="1">
      <c r="A146" s="376" t="s">
        <v>402</v>
      </c>
      <c r="B146" s="378"/>
      <c r="C146" s="219" t="s">
        <v>414</v>
      </c>
      <c r="D146" s="262">
        <v>1147116.6</v>
      </c>
      <c r="E146" s="311" t="s">
        <v>413</v>
      </c>
      <c r="F146" s="159"/>
      <c r="G146" s="240"/>
      <c r="H146" s="158"/>
      <c r="I146" s="158"/>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54" customHeight="1">
      <c r="A147" s="377"/>
      <c r="B147" s="379"/>
      <c r="C147" s="219" t="s">
        <v>415</v>
      </c>
      <c r="D147" s="262">
        <v>214000</v>
      </c>
      <c r="E147" s="261" t="s">
        <v>403</v>
      </c>
      <c r="F147" s="162"/>
      <c r="G147" s="240"/>
      <c r="H147" s="152"/>
      <c r="I147" s="207"/>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23.25" customHeight="1">
      <c r="A148" s="229" t="s">
        <v>20</v>
      </c>
      <c r="B148" s="220">
        <v>0</v>
      </c>
      <c r="C148" s="146"/>
      <c r="D148" s="221">
        <f>SUM(D146:D147)</f>
        <v>1361116.6</v>
      </c>
      <c r="E148" s="220"/>
      <c r="F148" s="159">
        <v>0</v>
      </c>
      <c r="G148" s="240"/>
      <c r="H148" s="250">
        <f>SUM(H147)</f>
        <v>0</v>
      </c>
      <c r="I148" s="158"/>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31.5" customHeight="1">
      <c r="A149" s="157" t="s">
        <v>272</v>
      </c>
      <c r="B149" s="261"/>
      <c r="C149" s="215" t="s">
        <v>388</v>
      </c>
      <c r="D149" s="286">
        <v>783</v>
      </c>
      <c r="E149" s="214" t="s">
        <v>390</v>
      </c>
      <c r="F149" s="156"/>
      <c r="G149" s="240"/>
      <c r="H149" s="259"/>
      <c r="I149" s="207"/>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24.75" customHeight="1">
      <c r="A150" s="229" t="s">
        <v>20</v>
      </c>
      <c r="B150" s="220">
        <f>B149</f>
        <v>0</v>
      </c>
      <c r="C150" s="146"/>
      <c r="D150" s="221">
        <f>D149</f>
        <v>783</v>
      </c>
      <c r="E150" s="220"/>
      <c r="F150" s="159"/>
      <c r="G150" s="240"/>
      <c r="H150" s="158">
        <f>H149</f>
        <v>0</v>
      </c>
      <c r="I150" s="158"/>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72" customHeight="1">
      <c r="A151" s="157" t="s">
        <v>54</v>
      </c>
      <c r="B151" s="261"/>
      <c r="C151" s="215" t="s">
        <v>331</v>
      </c>
      <c r="D151" s="287">
        <v>1</v>
      </c>
      <c r="E151" s="214" t="s">
        <v>332</v>
      </c>
      <c r="F151" s="156"/>
      <c r="G151" s="240"/>
      <c r="H151" s="259"/>
      <c r="I151" s="207"/>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20.25" customHeight="1">
      <c r="A152" s="229" t="s">
        <v>20</v>
      </c>
      <c r="B152" s="220">
        <f>B151</f>
        <v>0</v>
      </c>
      <c r="C152" s="146"/>
      <c r="D152" s="221">
        <f>D151</f>
        <v>1</v>
      </c>
      <c r="E152" s="220"/>
      <c r="F152" s="159"/>
      <c r="G152" s="240"/>
      <c r="H152" s="158">
        <f>H151</f>
        <v>0</v>
      </c>
      <c r="I152" s="158"/>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30.75" customHeight="1">
      <c r="A153" s="157" t="s">
        <v>66</v>
      </c>
      <c r="B153" s="261"/>
      <c r="C153" s="215"/>
      <c r="D153" s="287">
        <v>783</v>
      </c>
      <c r="E153" s="214" t="s">
        <v>374</v>
      </c>
      <c r="F153" s="156"/>
      <c r="G153" s="240"/>
      <c r="H153" s="259"/>
      <c r="I153" s="207"/>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3.25" customHeight="1">
      <c r="A154" s="229" t="s">
        <v>20</v>
      </c>
      <c r="B154" s="220">
        <f>B153</f>
        <v>0</v>
      </c>
      <c r="C154" s="146"/>
      <c r="D154" s="221">
        <f>D153</f>
        <v>783</v>
      </c>
      <c r="E154" s="220"/>
      <c r="F154" s="159"/>
      <c r="G154" s="240"/>
      <c r="H154" s="158">
        <f>H153</f>
        <v>0</v>
      </c>
      <c r="I154" s="158"/>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36" customHeight="1">
      <c r="A155" s="228" t="s">
        <v>319</v>
      </c>
      <c r="B155" s="220"/>
      <c r="C155" s="146"/>
      <c r="D155" s="287">
        <v>783</v>
      </c>
      <c r="E155" s="214" t="s">
        <v>374</v>
      </c>
      <c r="F155" s="159"/>
      <c r="G155" s="240"/>
      <c r="H155" s="259"/>
      <c r="I155" s="207"/>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29.25" customHeight="1">
      <c r="A156" s="229" t="s">
        <v>20</v>
      </c>
      <c r="B156" s="220">
        <f>B155</f>
        <v>0</v>
      </c>
      <c r="C156" s="146"/>
      <c r="D156" s="221">
        <f>D155</f>
        <v>783</v>
      </c>
      <c r="E156" s="220"/>
      <c r="F156" s="159"/>
      <c r="G156" s="240"/>
      <c r="H156" s="158">
        <f>H155</f>
        <v>0</v>
      </c>
      <c r="I156" s="158"/>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84" customHeight="1">
      <c r="A157" s="157" t="s">
        <v>317</v>
      </c>
      <c r="B157" s="261"/>
      <c r="C157" s="215" t="s">
        <v>334</v>
      </c>
      <c r="D157" s="286">
        <v>1600</v>
      </c>
      <c r="E157" s="214" t="s">
        <v>333</v>
      </c>
      <c r="F157" s="156"/>
      <c r="G157" s="240"/>
      <c r="H157" s="259"/>
      <c r="I157" s="207"/>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4.75" customHeight="1">
      <c r="A158" s="229" t="s">
        <v>20</v>
      </c>
      <c r="B158" s="220">
        <f>SUM(B157)</f>
        <v>0</v>
      </c>
      <c r="C158" s="146"/>
      <c r="D158" s="221">
        <f>D157</f>
        <v>1600</v>
      </c>
      <c r="E158" s="220"/>
      <c r="F158" s="159"/>
      <c r="G158" s="240"/>
      <c r="H158" s="158">
        <f>H157</f>
        <v>0</v>
      </c>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27.75" customHeight="1">
      <c r="A159" s="157" t="s">
        <v>64</v>
      </c>
      <c r="B159" s="261">
        <v>2496</v>
      </c>
      <c r="C159" s="215" t="s">
        <v>342</v>
      </c>
      <c r="D159" s="287"/>
      <c r="E159" s="214"/>
      <c r="F159" s="156"/>
      <c r="G159" s="240"/>
      <c r="H159" s="259"/>
      <c r="I159" s="207"/>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23.25" customHeight="1">
      <c r="A160" s="229" t="s">
        <v>20</v>
      </c>
      <c r="B160" s="220">
        <f>B159</f>
        <v>2496</v>
      </c>
      <c r="C160" s="146"/>
      <c r="D160" s="221">
        <f>D159</f>
        <v>0</v>
      </c>
      <c r="E160" s="220"/>
      <c r="F160" s="159"/>
      <c r="G160" s="240"/>
      <c r="H160" s="158">
        <f>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45" customFormat="1" ht="24" customHeight="1">
      <c r="A161" s="366" t="s">
        <v>315</v>
      </c>
      <c r="B161" s="402"/>
      <c r="C161" s="361"/>
      <c r="D161" s="287"/>
      <c r="E161" s="214"/>
      <c r="F161" s="156"/>
      <c r="G161" s="240"/>
      <c r="H161" s="259"/>
      <c r="I161" s="207"/>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c r="CO161" s="244"/>
      <c r="CP161" s="244"/>
      <c r="CQ161" s="244"/>
      <c r="CR161" s="244"/>
      <c r="CS161" s="244"/>
      <c r="CT161" s="244"/>
      <c r="CU161" s="244"/>
      <c r="CV161" s="244"/>
      <c r="CW161" s="244"/>
      <c r="CX161" s="244"/>
      <c r="CY161" s="244"/>
      <c r="CZ161" s="244"/>
      <c r="DA161" s="244"/>
      <c r="DB161" s="244"/>
      <c r="DC161" s="244"/>
      <c r="DD161" s="244"/>
      <c r="DE161" s="244"/>
      <c r="DF161" s="244"/>
      <c r="DG161" s="244"/>
      <c r="DH161" s="244"/>
      <c r="DI161" s="244"/>
      <c r="DJ161" s="244"/>
    </row>
    <row r="162" spans="1:114" s="245" customFormat="1" ht="19.5" customHeight="1">
      <c r="A162" s="372"/>
      <c r="B162" s="403"/>
      <c r="C162" s="375"/>
      <c r="D162" s="261"/>
      <c r="E162" s="276"/>
      <c r="F162" s="156"/>
      <c r="G162" s="240"/>
      <c r="H162" s="158"/>
      <c r="I162" s="158"/>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row>
    <row r="163" spans="1:114" s="245" customFormat="1" ht="24" customHeight="1">
      <c r="A163" s="267" t="s">
        <v>20</v>
      </c>
      <c r="B163" s="220">
        <f>B161</f>
        <v>0</v>
      </c>
      <c r="C163" s="362"/>
      <c r="D163" s="220">
        <f>D161+D162</f>
        <v>0</v>
      </c>
      <c r="E163" s="289"/>
      <c r="F163" s="156"/>
      <c r="G163" s="240"/>
      <c r="H163" s="158">
        <f>H161+H162</f>
        <v>0</v>
      </c>
      <c r="I163" s="158"/>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c r="DE163" s="244"/>
      <c r="DF163" s="244"/>
      <c r="DG163" s="244"/>
      <c r="DH163" s="244"/>
      <c r="DI163" s="244"/>
      <c r="DJ163" s="244"/>
    </row>
    <row r="164" spans="1:114" s="245" customFormat="1" ht="39" customHeight="1">
      <c r="A164" s="157" t="s">
        <v>318</v>
      </c>
      <c r="B164" s="261"/>
      <c r="C164" s="215"/>
      <c r="D164" s="286"/>
      <c r="E164" s="214"/>
      <c r="F164" s="156"/>
      <c r="G164" s="240"/>
      <c r="H164" s="152"/>
      <c r="I164" s="207"/>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row>
    <row r="165" spans="1:114" s="245" customFormat="1" ht="24.75" customHeight="1" thickBot="1">
      <c r="A165" s="229" t="s">
        <v>20</v>
      </c>
      <c r="B165" s="238">
        <f>B164</f>
        <v>0</v>
      </c>
      <c r="C165" s="146"/>
      <c r="D165" s="294">
        <f>D164</f>
        <v>0</v>
      </c>
      <c r="E165" s="220"/>
      <c r="F165" s="159"/>
      <c r="G165" s="240"/>
      <c r="H165" s="250">
        <f>H164</f>
        <v>0</v>
      </c>
      <c r="I165" s="158"/>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row>
    <row r="166" spans="1:114" s="269" customFormat="1" ht="60.75" customHeight="1" thickBot="1">
      <c r="A166" s="253" t="s">
        <v>324</v>
      </c>
      <c r="B166" s="220">
        <f>SUM(B156+B66+B69+B76+B80+B83+B86+B89+B102+B105+B108+B114+B117+B163+B120+B123+B126+B129+B132+B136+B139+B142+B145+B150+B152+B154+B158+B160+B165)</f>
        <v>64256.69</v>
      </c>
      <c r="C166" s="220"/>
      <c r="D166" s="308">
        <f>SUM(D156+D66+D69+D76+D80+D163+D83+D86+D89+D102+D105+D108+D114+D117+D120+D123+D126+D129+D132+D136+D139+D142+D145+D150+D152+D154+D158+D160+D165+D148)</f>
        <v>2182520.34</v>
      </c>
      <c r="E166" s="220">
        <f>SUM(E156+E66+E69+E76+E80+E163+E83+E86+E89+E102+E105+E108+E114+E117+E120+E123+E126+E129+E132+E136+E139+E142+E145+E150+E152+E154+E158+E160+E165)</f>
        <v>0</v>
      </c>
      <c r="F166" s="220">
        <f>SUM(F156+F66+F69+F76+F80+F163+F83+F86+F89+F102+F105+F108+F114+F117+F120+F123+F126+F129+F132+F136+F139+F142+F145+F150+F152+F154+F158+F160+F165)</f>
        <v>0</v>
      </c>
      <c r="G166" s="220">
        <f>SUM(G156+G66+G69+G76+G80+G163+G83+G86+G89+G102+G105+G108+G114+G117+G120+G123+G126+G129+G132+G136+G139+G142+G145+G150+G152+G154+G158+G160+G165)</f>
        <v>0</v>
      </c>
      <c r="H166" s="220">
        <f>SUM(H156+H66+H69+H76+H80+H163+H83+H86+H89+H102+H105+H108+H114+H117+H120+H123+H126+H129+H132+H136+H139+H142+H145+H150+H152+H154+H158+H160+H165)+H148</f>
        <v>0</v>
      </c>
      <c r="I166" s="220">
        <f>SUM(I156+I66+I69+I76+I80+I163+I83+I86+I89+I102+I105+I108+I114+I117+I120+I123+I126+I129+I132+I136+I139+I142+I145+I150+I152+I154+I158+I160+I165)</f>
        <v>0</v>
      </c>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68"/>
      <c r="BD166" s="268"/>
      <c r="BE166" s="268"/>
      <c r="BF166" s="268"/>
      <c r="BG166" s="268"/>
      <c r="BH166" s="268"/>
      <c r="BI166" s="268"/>
      <c r="BJ166" s="268"/>
      <c r="BK166" s="268"/>
      <c r="BL166" s="268"/>
      <c r="BM166" s="268"/>
      <c r="BN166" s="268"/>
      <c r="BO166" s="268"/>
      <c r="BP166" s="268"/>
      <c r="BQ166" s="268"/>
      <c r="BR166" s="268"/>
      <c r="BS166" s="268"/>
      <c r="BT166" s="268"/>
      <c r="BU166" s="268"/>
      <c r="BV166" s="268"/>
      <c r="BW166" s="268"/>
      <c r="BX166" s="268"/>
      <c r="BY166" s="268"/>
      <c r="BZ166" s="268"/>
      <c r="CA166" s="268"/>
      <c r="CB166" s="268"/>
      <c r="CC166" s="268"/>
      <c r="CD166" s="268"/>
      <c r="CE166" s="268"/>
      <c r="CF166" s="268"/>
      <c r="CG166" s="268"/>
      <c r="CH166" s="268"/>
      <c r="CI166" s="268"/>
      <c r="CJ166" s="268"/>
      <c r="CK166" s="268"/>
      <c r="CL166" s="268"/>
      <c r="CM166" s="268"/>
      <c r="CN166" s="268"/>
      <c r="CO166" s="268"/>
      <c r="CP166" s="268"/>
      <c r="CQ166" s="268"/>
      <c r="CR166" s="268"/>
      <c r="CS166" s="268"/>
      <c r="CT166" s="268"/>
      <c r="CU166" s="268"/>
      <c r="CV166" s="268"/>
      <c r="CW166" s="268"/>
      <c r="CX166" s="268"/>
      <c r="CY166" s="268"/>
      <c r="CZ166" s="268"/>
      <c r="DA166" s="268"/>
      <c r="DB166" s="268"/>
      <c r="DC166" s="268"/>
      <c r="DD166" s="268"/>
      <c r="DE166" s="268"/>
      <c r="DF166" s="268"/>
      <c r="DG166" s="268"/>
      <c r="DH166" s="268"/>
      <c r="DI166" s="268"/>
      <c r="DJ166" s="268"/>
    </row>
    <row r="167" spans="1:114" s="269" customFormat="1" ht="79.5" customHeight="1" thickBot="1">
      <c r="A167" s="229" t="s">
        <v>325</v>
      </c>
      <c r="B167" s="221">
        <f>SUM(B63+B166)</f>
        <v>187303.90000000002</v>
      </c>
      <c r="C167" s="221"/>
      <c r="D167" s="309">
        <f aca="true" t="shared" si="0" ref="D167:I167">D166+D63</f>
        <v>2277158.7399999998</v>
      </c>
      <c r="E167" s="221">
        <f t="shared" si="0"/>
        <v>0</v>
      </c>
      <c r="F167" s="221">
        <f t="shared" si="0"/>
        <v>0</v>
      </c>
      <c r="G167" s="221">
        <f t="shared" si="0"/>
        <v>0</v>
      </c>
      <c r="H167" s="221">
        <f t="shared" si="0"/>
        <v>0</v>
      </c>
      <c r="I167" s="221">
        <f t="shared" si="0"/>
        <v>0</v>
      </c>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268"/>
      <c r="AW167" s="268"/>
      <c r="AX167" s="268"/>
      <c r="AY167" s="268"/>
      <c r="AZ167" s="268"/>
      <c r="BA167" s="268"/>
      <c r="BB167" s="268"/>
      <c r="BC167" s="268"/>
      <c r="BD167" s="268"/>
      <c r="BE167" s="268"/>
      <c r="BF167" s="268"/>
      <c r="BG167" s="268"/>
      <c r="BH167" s="268"/>
      <c r="BI167" s="268"/>
      <c r="BJ167" s="268"/>
      <c r="BK167" s="268"/>
      <c r="BL167" s="268"/>
      <c r="BM167" s="268"/>
      <c r="BN167" s="268"/>
      <c r="BO167" s="268"/>
      <c r="BP167" s="268"/>
      <c r="BQ167" s="268"/>
      <c r="BR167" s="268"/>
      <c r="BS167" s="268"/>
      <c r="BT167" s="268"/>
      <c r="BU167" s="268"/>
      <c r="BV167" s="268"/>
      <c r="BW167" s="268"/>
      <c r="BX167" s="268"/>
      <c r="BY167" s="268"/>
      <c r="BZ167" s="268"/>
      <c r="CA167" s="268"/>
      <c r="CB167" s="268"/>
      <c r="CC167" s="268"/>
      <c r="CD167" s="268"/>
      <c r="CE167" s="268"/>
      <c r="CF167" s="268"/>
      <c r="CG167" s="268"/>
      <c r="CH167" s="268"/>
      <c r="CI167" s="268"/>
      <c r="CJ167" s="268"/>
      <c r="CK167" s="268"/>
      <c r="CL167" s="268"/>
      <c r="CM167" s="268"/>
      <c r="CN167" s="268"/>
      <c r="CO167" s="268"/>
      <c r="CP167" s="268"/>
      <c r="CQ167" s="268"/>
      <c r="CR167" s="268"/>
      <c r="CS167" s="268"/>
      <c r="CT167" s="268"/>
      <c r="CU167" s="268"/>
      <c r="CV167" s="268"/>
      <c r="CW167" s="268"/>
      <c r="CX167" s="268"/>
      <c r="CY167" s="268"/>
      <c r="CZ167" s="268"/>
      <c r="DA167" s="268"/>
      <c r="DB167" s="268"/>
      <c r="DC167" s="268"/>
      <c r="DD167" s="268"/>
      <c r="DE167" s="268"/>
      <c r="DF167" s="268"/>
      <c r="DG167" s="268"/>
      <c r="DH167" s="268"/>
      <c r="DI167" s="268"/>
      <c r="DJ167" s="268"/>
    </row>
    <row r="168" spans="1:114" s="272" customFormat="1" ht="9.75" customHeight="1" hidden="1">
      <c r="A168" s="222"/>
      <c r="B168" s="270"/>
      <c r="C168" s="222"/>
      <c r="D168" s="295"/>
      <c r="E168" s="273"/>
      <c r="F168" s="271"/>
      <c r="G168" s="271"/>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2"/>
      <c r="BM168" s="232"/>
      <c r="BN168" s="232"/>
      <c r="BO168" s="232"/>
      <c r="BP168" s="232"/>
      <c r="BQ168" s="232"/>
      <c r="BR168" s="232"/>
      <c r="BS168" s="232"/>
      <c r="BT168" s="232"/>
      <c r="BU168" s="232"/>
      <c r="BV168" s="232"/>
      <c r="BW168" s="232"/>
      <c r="BX168" s="232"/>
      <c r="BY168" s="232"/>
      <c r="BZ168" s="232"/>
      <c r="CA168" s="232"/>
      <c r="CB168" s="232"/>
      <c r="CC168" s="232"/>
      <c r="CD168" s="232"/>
      <c r="CE168" s="232"/>
      <c r="CF168" s="232"/>
      <c r="CG168" s="232"/>
      <c r="CH168" s="232"/>
      <c r="CI168" s="232"/>
      <c r="CJ168" s="232"/>
      <c r="CK168" s="232"/>
      <c r="CL168" s="232"/>
      <c r="CM168" s="232"/>
      <c r="CN168" s="232"/>
      <c r="CO168" s="232"/>
      <c r="CP168" s="232"/>
      <c r="CQ168" s="232"/>
      <c r="CR168" s="232"/>
      <c r="CS168" s="232"/>
      <c r="CT168" s="232"/>
      <c r="CU168" s="232"/>
      <c r="CV168" s="232"/>
      <c r="CW168" s="232"/>
      <c r="CX168" s="232"/>
      <c r="CY168" s="232"/>
      <c r="CZ168" s="232"/>
      <c r="DA168" s="232"/>
      <c r="DB168" s="232"/>
      <c r="DC168" s="232"/>
      <c r="DD168" s="232"/>
      <c r="DE168" s="232"/>
      <c r="DF168" s="232"/>
      <c r="DG168" s="232"/>
      <c r="DH168" s="232"/>
      <c r="DI168" s="232"/>
      <c r="DJ168" s="232"/>
    </row>
    <row r="169" spans="1:114" s="272" customFormat="1" ht="33" customHeight="1">
      <c r="A169" s="223" t="s">
        <v>326</v>
      </c>
      <c r="B169" s="273"/>
      <c r="C169" s="223"/>
      <c r="D169" s="295"/>
      <c r="E169" s="273" t="s">
        <v>34</v>
      </c>
      <c r="F169" s="271"/>
      <c r="G169" s="223" t="s">
        <v>343</v>
      </c>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c r="AP169" s="232"/>
      <c r="AQ169" s="232"/>
      <c r="AR169" s="232"/>
      <c r="AS169" s="232"/>
      <c r="AT169" s="232"/>
      <c r="AU169" s="232"/>
      <c r="AV169" s="232"/>
      <c r="AW169" s="232"/>
      <c r="AX169" s="232"/>
      <c r="AY169" s="232"/>
      <c r="AZ169" s="232"/>
      <c r="BA169" s="232"/>
      <c r="BB169" s="232"/>
      <c r="BC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232"/>
      <c r="BY169" s="232"/>
      <c r="BZ169" s="232"/>
      <c r="CA169" s="232"/>
      <c r="CB169" s="232"/>
      <c r="CC169" s="232"/>
      <c r="CD169" s="232"/>
      <c r="CE169" s="232"/>
      <c r="CF169" s="232"/>
      <c r="CG169" s="232"/>
      <c r="CH169" s="232"/>
      <c r="CI169" s="232"/>
      <c r="CJ169" s="232"/>
      <c r="CK169" s="232"/>
      <c r="CL169" s="232"/>
      <c r="CM169" s="232"/>
      <c r="CN169" s="232"/>
      <c r="CO169" s="232"/>
      <c r="CP169" s="232"/>
      <c r="CQ169" s="232"/>
      <c r="CR169" s="232"/>
      <c r="CS169" s="232"/>
      <c r="CT169" s="232"/>
      <c r="CU169" s="232"/>
      <c r="CV169" s="232"/>
      <c r="CW169" s="232"/>
      <c r="CX169" s="232"/>
      <c r="CY169" s="232"/>
      <c r="CZ169" s="232"/>
      <c r="DA169" s="232"/>
      <c r="DB169" s="232"/>
      <c r="DC169" s="232"/>
      <c r="DD169" s="232"/>
      <c r="DE169" s="232"/>
      <c r="DF169" s="232"/>
      <c r="DG169" s="232"/>
      <c r="DH169" s="232"/>
      <c r="DI169" s="232"/>
      <c r="DJ169" s="232"/>
    </row>
    <row r="170" spans="1:9" ht="20.25" customHeight="1">
      <c r="A170" s="222" t="s">
        <v>35</v>
      </c>
      <c r="B170" s="270"/>
      <c r="C170" s="224"/>
      <c r="D170" s="296"/>
      <c r="E170" s="300"/>
      <c r="F170" s="222"/>
      <c r="G170" s="222" t="s">
        <v>344</v>
      </c>
      <c r="H170" s="182"/>
      <c r="I170" s="182"/>
    </row>
    <row r="171" spans="1:10" ht="20.25" customHeight="1">
      <c r="A171" s="224" t="s">
        <v>345</v>
      </c>
      <c r="B171" s="224"/>
      <c r="C171" s="224"/>
      <c r="D171" s="295"/>
      <c r="E171" s="298"/>
      <c r="F171" s="274"/>
      <c r="G171" s="274"/>
      <c r="H171" s="182"/>
      <c r="I171" s="246"/>
      <c r="J171" s="182" t="s">
        <v>327</v>
      </c>
    </row>
    <row r="172" spans="1:9" ht="20.25" customHeight="1">
      <c r="A172" s="224" t="s">
        <v>346</v>
      </c>
      <c r="B172" s="224"/>
      <c r="C172" s="224"/>
      <c r="D172" s="295"/>
      <c r="E172" s="298"/>
      <c r="F172" s="274"/>
      <c r="G172" s="274"/>
      <c r="H172" s="182"/>
      <c r="I172" s="182"/>
    </row>
    <row r="173" spans="1:9" ht="12" customHeight="1">
      <c r="A173" s="182"/>
      <c r="B173" s="225"/>
      <c r="C173" s="225"/>
      <c r="D173" s="297"/>
      <c r="E173" s="225"/>
      <c r="F173" s="182"/>
      <c r="G173" s="182"/>
      <c r="H173" s="182"/>
      <c r="I173" s="182"/>
    </row>
    <row r="174" spans="1:9" ht="15.75">
      <c r="A174" s="182"/>
      <c r="B174" s="225"/>
      <c r="C174" s="225"/>
      <c r="D174" s="297"/>
      <c r="E174" s="225"/>
      <c r="F174" s="182"/>
      <c r="G174" s="182"/>
      <c r="H174" s="182"/>
      <c r="I174" s="182"/>
    </row>
    <row r="175" spans="1:9" ht="15.75">
      <c r="A175" s="182"/>
      <c r="B175" s="225"/>
      <c r="C175" s="225"/>
      <c r="D175" s="297"/>
      <c r="E175" s="225"/>
      <c r="F175" s="182"/>
      <c r="G175" s="182"/>
      <c r="H175" s="182"/>
      <c r="I175" s="182"/>
    </row>
  </sheetData>
  <sheetProtection/>
  <mergeCells count="168">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E26:E27"/>
    <mergeCell ref="F26:F27"/>
    <mergeCell ref="A18:A19"/>
    <mergeCell ref="A20:A21"/>
    <mergeCell ref="B20:B21"/>
    <mergeCell ref="C20:C21"/>
    <mergeCell ref="A23:A24"/>
    <mergeCell ref="B23:B24"/>
    <mergeCell ref="C23:C24"/>
    <mergeCell ref="G26:G27"/>
    <mergeCell ref="H26:H27"/>
    <mergeCell ref="I26:I27"/>
    <mergeCell ref="A30:A31"/>
    <mergeCell ref="B30:B31"/>
    <mergeCell ref="C30:C31"/>
    <mergeCell ref="A26:A28"/>
    <mergeCell ref="B26:B28"/>
    <mergeCell ref="C26:C28"/>
    <mergeCell ref="D26:D27"/>
    <mergeCell ref="A33:A34"/>
    <mergeCell ref="B33:B34"/>
    <mergeCell ref="C33:C34"/>
    <mergeCell ref="A36:A37"/>
    <mergeCell ref="B36:B37"/>
    <mergeCell ref="C36:C38"/>
    <mergeCell ref="A39:A40"/>
    <mergeCell ref="B39:B40"/>
    <mergeCell ref="C39:C40"/>
    <mergeCell ref="A42:A43"/>
    <mergeCell ref="B42:B43"/>
    <mergeCell ref="C42:C44"/>
    <mergeCell ref="A45:A46"/>
    <mergeCell ref="B45:B46"/>
    <mergeCell ref="C45:C46"/>
    <mergeCell ref="A48:A49"/>
    <mergeCell ref="B48:B49"/>
    <mergeCell ref="C48:C49"/>
    <mergeCell ref="A51:A52"/>
    <mergeCell ref="B51:B52"/>
    <mergeCell ref="C51:C52"/>
    <mergeCell ref="A54:A55"/>
    <mergeCell ref="B54:B55"/>
    <mergeCell ref="C54:C56"/>
    <mergeCell ref="A57:A58"/>
    <mergeCell ref="B57:B58"/>
    <mergeCell ref="C57:C58"/>
    <mergeCell ref="A60:A61"/>
    <mergeCell ref="B60:B61"/>
    <mergeCell ref="C60:C61"/>
    <mergeCell ref="A64:A65"/>
    <mergeCell ref="B64:B65"/>
    <mergeCell ref="C64:C66"/>
    <mergeCell ref="A67:A68"/>
    <mergeCell ref="B67:B68"/>
    <mergeCell ref="C67:C69"/>
    <mergeCell ref="A70:A75"/>
    <mergeCell ref="B70:B75"/>
    <mergeCell ref="C70:C75"/>
    <mergeCell ref="F70:F75"/>
    <mergeCell ref="G70:G75"/>
    <mergeCell ref="A77:A79"/>
    <mergeCell ref="B77:B79"/>
    <mergeCell ref="C77:C79"/>
    <mergeCell ref="F77:F79"/>
    <mergeCell ref="G77:G79"/>
    <mergeCell ref="A81:A82"/>
    <mergeCell ref="B81:B82"/>
    <mergeCell ref="C81:C82"/>
    <mergeCell ref="F81:F82"/>
    <mergeCell ref="G81:G82"/>
    <mergeCell ref="A84:A85"/>
    <mergeCell ref="B84:B85"/>
    <mergeCell ref="F84:F85"/>
    <mergeCell ref="G84:G85"/>
    <mergeCell ref="A87:A88"/>
    <mergeCell ref="B87:B88"/>
    <mergeCell ref="C87:C89"/>
    <mergeCell ref="F87:F88"/>
    <mergeCell ref="G87:G88"/>
    <mergeCell ref="A100:A101"/>
    <mergeCell ref="B100:B101"/>
    <mergeCell ref="C100:C102"/>
    <mergeCell ref="F100:F101"/>
    <mergeCell ref="G100:G101"/>
    <mergeCell ref="A103:A104"/>
    <mergeCell ref="B103:B104"/>
    <mergeCell ref="F103:F104"/>
    <mergeCell ref="G103:G104"/>
    <mergeCell ref="A106:A107"/>
    <mergeCell ref="B106:B107"/>
    <mergeCell ref="C106:C107"/>
    <mergeCell ref="F106:F107"/>
    <mergeCell ref="G106:G107"/>
    <mergeCell ref="A109:A113"/>
    <mergeCell ref="B109:B113"/>
    <mergeCell ref="F109:F113"/>
    <mergeCell ref="G109:G113"/>
    <mergeCell ref="C110:C113"/>
    <mergeCell ref="A115:A116"/>
    <mergeCell ref="B115:B116"/>
    <mergeCell ref="C115:C116"/>
    <mergeCell ref="F115:F116"/>
    <mergeCell ref="G115:G116"/>
    <mergeCell ref="A118:A119"/>
    <mergeCell ref="B118:B119"/>
    <mergeCell ref="F118:F119"/>
    <mergeCell ref="G118:G119"/>
    <mergeCell ref="A121:A122"/>
    <mergeCell ref="B121:B122"/>
    <mergeCell ref="C121:C122"/>
    <mergeCell ref="E121:E123"/>
    <mergeCell ref="F121:F122"/>
    <mergeCell ref="G121:G122"/>
    <mergeCell ref="A124:A125"/>
    <mergeCell ref="B124:B125"/>
    <mergeCell ref="F124:F125"/>
    <mergeCell ref="G124:G125"/>
    <mergeCell ref="A127:A128"/>
    <mergeCell ref="B127:B128"/>
    <mergeCell ref="C127:C128"/>
    <mergeCell ref="F127:F128"/>
    <mergeCell ref="G127:G128"/>
    <mergeCell ref="G140:G141"/>
    <mergeCell ref="A130:A131"/>
    <mergeCell ref="B130:B131"/>
    <mergeCell ref="F130:F131"/>
    <mergeCell ref="G130:G131"/>
    <mergeCell ref="A133:A135"/>
    <mergeCell ref="B133:B135"/>
    <mergeCell ref="C133:C134"/>
    <mergeCell ref="F133:F135"/>
    <mergeCell ref="G133:G135"/>
    <mergeCell ref="A161:A162"/>
    <mergeCell ref="B161:B162"/>
    <mergeCell ref="C161:C163"/>
    <mergeCell ref="B146:B147"/>
    <mergeCell ref="A146:A147"/>
    <mergeCell ref="A137:A138"/>
    <mergeCell ref="B137:B138"/>
    <mergeCell ref="A140:A141"/>
    <mergeCell ref="B140:B141"/>
    <mergeCell ref="E36:E37"/>
    <mergeCell ref="D36:D37"/>
    <mergeCell ref="A143:A144"/>
    <mergeCell ref="B143:B144"/>
    <mergeCell ref="F143:F144"/>
    <mergeCell ref="G143:G144"/>
    <mergeCell ref="E137:E139"/>
    <mergeCell ref="F137:F138"/>
    <mergeCell ref="G137:G138"/>
    <mergeCell ref="F140:F141"/>
  </mergeCells>
  <printOptions/>
  <pageMargins left="0.11811023622047245" right="0.11811023622047245" top="0.15748031496062992" bottom="0.15748031496062992"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DJ169"/>
  <sheetViews>
    <sheetView zoomScalePageLayoutView="0" workbookViewId="0" topLeftCell="A4">
      <selection activeCell="A4" sqref="A1:IV16384"/>
    </sheetView>
  </sheetViews>
  <sheetFormatPr defaultColWidth="25.7109375" defaultRowHeight="15"/>
  <cols>
    <col min="1" max="1" width="14.28125" style="4" customWidth="1"/>
    <col min="2" max="2" width="12.57421875" style="226" customWidth="1"/>
    <col min="3" max="3" width="34.421875" style="226" customWidth="1"/>
    <col min="4" max="4" width="11.57421875" style="275" customWidth="1"/>
    <col min="5" max="5" width="22.7109375" style="226" customWidth="1"/>
    <col min="6" max="6" width="9.28125" style="4" customWidth="1"/>
    <col min="7" max="7" width="8.8515625" style="4" customWidth="1"/>
    <col min="8" max="8" width="9.28125" style="4" customWidth="1"/>
    <col min="9" max="9" width="13.281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371</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375</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33.75" customHeight="1">
      <c r="A15" s="365" t="s">
        <v>376</v>
      </c>
      <c r="B15" s="359">
        <f>776.6+847.8+13872</f>
        <v>15496.4</v>
      </c>
      <c r="C15" s="361" t="s">
        <v>384</v>
      </c>
      <c r="D15" s="262">
        <v>783</v>
      </c>
      <c r="E15" s="276" t="s">
        <v>373</v>
      </c>
      <c r="F15" s="236"/>
      <c r="G15" s="230"/>
      <c r="H15" s="228"/>
      <c r="I15" s="213"/>
      <c r="J15" s="235"/>
      <c r="K15" s="246"/>
    </row>
    <row r="16" spans="1:11" ht="13.5" customHeight="1">
      <c r="A16" s="365"/>
      <c r="B16" s="360"/>
      <c r="C16" s="362"/>
      <c r="D16" s="262"/>
      <c r="E16" s="261"/>
      <c r="F16" s="236"/>
      <c r="G16" s="230"/>
      <c r="H16" s="228"/>
      <c r="I16" s="228"/>
      <c r="J16" s="235"/>
      <c r="K16" s="246"/>
    </row>
    <row r="17" spans="1:114" s="245" customFormat="1" ht="22.5" customHeight="1">
      <c r="A17" s="229" t="s">
        <v>19</v>
      </c>
      <c r="B17" s="238">
        <f>SUM(B15)</f>
        <v>15496.4</v>
      </c>
      <c r="C17" s="215"/>
      <c r="D17" s="266">
        <f>D16+D15</f>
        <v>783</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65" t="s">
        <v>377</v>
      </c>
      <c r="B18" s="306">
        <v>670</v>
      </c>
      <c r="C18" s="215" t="s">
        <v>353</v>
      </c>
      <c r="D18" s="214"/>
      <c r="E18" s="276"/>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365"/>
      <c r="B19" s="238">
        <f>SUM(B18)</f>
        <v>670</v>
      </c>
      <c r="C19" s="303"/>
      <c r="D19" s="279">
        <f>D18</f>
        <v>0</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32.25" customHeight="1">
      <c r="A20" s="366" t="s">
        <v>378</v>
      </c>
      <c r="B20" s="359">
        <f>537+3249.47+3550</f>
        <v>7336.469999999999</v>
      </c>
      <c r="C20" s="361" t="s">
        <v>367</v>
      </c>
      <c r="D20" s="214"/>
      <c r="E20" s="276"/>
      <c r="F20" s="236"/>
      <c r="G20" s="230"/>
      <c r="H20" s="228"/>
      <c r="I20" s="213"/>
      <c r="J20" s="235"/>
      <c r="K20" s="246"/>
    </row>
    <row r="21" spans="1:11" ht="33.75" customHeight="1">
      <c r="A21" s="367"/>
      <c r="B21" s="360"/>
      <c r="C21" s="416"/>
      <c r="D21" s="249"/>
      <c r="E21" s="261"/>
      <c r="F21" s="236"/>
      <c r="G21" s="230"/>
      <c r="H21" s="228"/>
      <c r="I21" s="228"/>
      <c r="J21" s="235"/>
      <c r="K21" s="246"/>
    </row>
    <row r="22" spans="1:114" s="245" customFormat="1" ht="28.5" customHeight="1">
      <c r="A22" s="229" t="s">
        <v>20</v>
      </c>
      <c r="B22" s="238">
        <f>B20</f>
        <v>7336.469999999999</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47.25" customHeight="1">
      <c r="A23" s="366" t="s">
        <v>379</v>
      </c>
      <c r="B23" s="359">
        <v>2940</v>
      </c>
      <c r="C23" s="361" t="s">
        <v>335</v>
      </c>
      <c r="D23" s="214"/>
      <c r="E23" s="276"/>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18" customHeight="1">
      <c r="A26" s="366" t="s">
        <v>380</v>
      </c>
      <c r="B26" s="359">
        <v>697</v>
      </c>
      <c r="C26" s="361" t="s">
        <v>352</v>
      </c>
      <c r="D26" s="357"/>
      <c r="E26" s="357"/>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357"/>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0</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381</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63.75" customHeight="1">
      <c r="A33" s="365" t="s">
        <v>382</v>
      </c>
      <c r="B33" s="369">
        <f>24050+1000</f>
        <v>25050</v>
      </c>
      <c r="C33" s="370" t="s">
        <v>385</v>
      </c>
      <c r="D33" s="262">
        <v>783</v>
      </c>
      <c r="E33" s="214" t="s">
        <v>373</v>
      </c>
      <c r="F33" s="251"/>
      <c r="G33" s="230"/>
      <c r="H33" s="207"/>
      <c r="I33" s="207"/>
      <c r="J33" s="235"/>
    </row>
    <row r="34" spans="1:10" ht="37.5" customHeight="1">
      <c r="A34" s="365"/>
      <c r="B34" s="369"/>
      <c r="C34" s="370"/>
      <c r="D34" s="262"/>
      <c r="E34" s="261"/>
      <c r="F34" s="251"/>
      <c r="G34" s="230"/>
      <c r="H34" s="207"/>
      <c r="I34" s="207"/>
      <c r="J34" s="235"/>
    </row>
    <row r="35" spans="1:114" s="245" customFormat="1" ht="27.75" customHeight="1">
      <c r="A35" s="229" t="s">
        <v>20</v>
      </c>
      <c r="B35" s="238">
        <f>SUM(B33:B34)</f>
        <v>25050</v>
      </c>
      <c r="C35" s="146"/>
      <c r="D35" s="221">
        <f>D34+D33</f>
        <v>783</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9.75" customHeight="1">
      <c r="A36" s="365" t="s">
        <v>383</v>
      </c>
      <c r="B36" s="369">
        <f>179.8+747</f>
        <v>926.8</v>
      </c>
      <c r="C36" s="361" t="s">
        <v>358</v>
      </c>
      <c r="D36" s="214"/>
      <c r="E36" s="214"/>
      <c r="F36" s="251"/>
      <c r="G36" s="230"/>
      <c r="H36" s="207"/>
      <c r="I36" s="207"/>
      <c r="J36" s="235"/>
    </row>
    <row r="37" spans="1:10" ht="12" customHeight="1">
      <c r="A37" s="365"/>
      <c r="B37" s="369"/>
      <c r="C37" s="375"/>
      <c r="D37" s="262"/>
      <c r="E37" s="261"/>
      <c r="F37" s="251"/>
      <c r="G37" s="230"/>
      <c r="H37" s="207"/>
      <c r="I37" s="207"/>
      <c r="J37" s="235"/>
    </row>
    <row r="38" spans="1:114" s="245" customFormat="1" ht="36" customHeight="1">
      <c r="A38" s="229" t="s">
        <v>20</v>
      </c>
      <c r="B38" s="238">
        <f>SUM(B36:B37)</f>
        <v>926.8</v>
      </c>
      <c r="C38" s="362"/>
      <c r="D38" s="221">
        <f>D37+D36</f>
        <v>0</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73.5"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757+675+552</f>
        <v>1984</v>
      </c>
      <c r="C42" s="361" t="s">
        <v>368</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1984</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361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23.25" customHeight="1">
      <c r="A46" s="367"/>
      <c r="B46" s="360"/>
      <c r="C46" s="362"/>
      <c r="D46" s="214"/>
      <c r="E46" s="214"/>
      <c r="F46" s="152"/>
      <c r="G46" s="230"/>
      <c r="H46" s="207"/>
      <c r="I46" s="207"/>
      <c r="J46" s="235"/>
    </row>
    <row r="47" spans="1:114" s="245" customFormat="1" ht="31.5" customHeight="1">
      <c r="A47" s="229" t="s">
        <v>20</v>
      </c>
      <c r="B47" s="238">
        <f>SUM(B45)</f>
        <v>1330</v>
      </c>
      <c r="C47" s="215"/>
      <c r="D47" s="220">
        <f>D46+D45</f>
        <v>4</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123047.21000000002</v>
      </c>
      <c r="C63" s="147"/>
      <c r="D63" s="254">
        <f>D62+D59+D56+D53+D50+D47+D44+D41+D38+D35+D32+D29+D25+D22+D19+D17+D14</f>
        <v>1570</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v>1470</v>
      </c>
      <c r="C64" s="361" t="s">
        <v>372</v>
      </c>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1470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v>1040</v>
      </c>
      <c r="C67" s="361" t="s">
        <v>372</v>
      </c>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1040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55.5" customHeight="1">
      <c r="A70" s="365" t="s">
        <v>386</v>
      </c>
      <c r="B70" s="369">
        <f>1960</f>
        <v>1960</v>
      </c>
      <c r="C70" s="387" t="s">
        <v>405</v>
      </c>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65.25" customHeight="1">
      <c r="A71" s="365"/>
      <c r="B71" s="369"/>
      <c r="C71" s="388"/>
      <c r="D71" s="262">
        <v>163682.46</v>
      </c>
      <c r="E71" s="307" t="s">
        <v>404</v>
      </c>
      <c r="F71" s="384"/>
      <c r="G71" s="386"/>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46.5" customHeight="1">
      <c r="A72" s="365"/>
      <c r="B72" s="369"/>
      <c r="C72" s="389"/>
      <c r="D72" s="261">
        <v>783</v>
      </c>
      <c r="E72" s="276" t="s">
        <v>373</v>
      </c>
      <c r="F72" s="385"/>
      <c r="G72" s="377"/>
      <c r="H72" s="162"/>
      <c r="I72" s="213"/>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7.75" customHeight="1">
      <c r="A73" s="229" t="s">
        <v>20</v>
      </c>
      <c r="B73" s="238">
        <f>B70</f>
        <v>1960</v>
      </c>
      <c r="C73" s="146"/>
      <c r="D73" s="220">
        <f>SUM(D70:D72)</f>
        <v>164469.46</v>
      </c>
      <c r="E73" s="221"/>
      <c r="F73" s="250">
        <f>F70</f>
        <v>0</v>
      </c>
      <c r="G73" s="240"/>
      <c r="H73" s="159">
        <f>SUM(H70:H72)</f>
        <v>0</v>
      </c>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4" customHeight="1">
      <c r="A74" s="366" t="s">
        <v>38</v>
      </c>
      <c r="B74" s="359">
        <v>1980</v>
      </c>
      <c r="C74" s="387" t="s">
        <v>387</v>
      </c>
      <c r="D74" s="214"/>
      <c r="E74" s="214"/>
      <c r="F74" s="383"/>
      <c r="G74" s="376"/>
      <c r="H74" s="159"/>
      <c r="I74" s="231"/>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114" s="245" customFormat="1" ht="21.75" customHeight="1">
      <c r="A75" s="372"/>
      <c r="B75" s="373"/>
      <c r="C75" s="388"/>
      <c r="D75" s="261"/>
      <c r="E75" s="276"/>
      <c r="F75" s="384"/>
      <c r="G75" s="386"/>
      <c r="H75" s="207"/>
      <c r="I75" s="207"/>
      <c r="J75" s="242"/>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c r="CO75" s="244"/>
      <c r="CP75" s="244"/>
      <c r="CQ75" s="244"/>
      <c r="CR75" s="244"/>
      <c r="CS75" s="244"/>
      <c r="CT75" s="244"/>
      <c r="CU75" s="244"/>
      <c r="CV75" s="244"/>
      <c r="CW75" s="244"/>
      <c r="CX75" s="244"/>
      <c r="CY75" s="244"/>
      <c r="CZ75" s="244"/>
      <c r="DA75" s="244"/>
      <c r="DB75" s="244"/>
      <c r="DC75" s="244"/>
      <c r="DD75" s="244"/>
      <c r="DE75" s="244"/>
      <c r="DF75" s="244"/>
      <c r="DG75" s="244"/>
      <c r="DH75" s="244"/>
      <c r="DI75" s="244"/>
      <c r="DJ75" s="244"/>
    </row>
    <row r="76" spans="1:9" ht="2.25" customHeight="1" hidden="1">
      <c r="A76" s="367"/>
      <c r="B76" s="360"/>
      <c r="C76" s="389"/>
      <c r="D76" s="261"/>
      <c r="E76" s="287"/>
      <c r="F76" s="385"/>
      <c r="G76" s="377"/>
      <c r="H76" s="259"/>
      <c r="I76" s="207"/>
    </row>
    <row r="77" spans="1:114" s="245" customFormat="1" ht="19.5" customHeight="1">
      <c r="A77" s="229" t="s">
        <v>20</v>
      </c>
      <c r="B77" s="238">
        <f>SUM(B74:B74)</f>
        <v>1980</v>
      </c>
      <c r="C77" s="146"/>
      <c r="D77" s="308">
        <f>SUM(D74:D76)</f>
        <v>0</v>
      </c>
      <c r="E77" s="288"/>
      <c r="F77" s="250">
        <f>F74</f>
        <v>0</v>
      </c>
      <c r="G77" s="240"/>
      <c r="H77" s="158">
        <f>SUM(H75:H76)</f>
        <v>0</v>
      </c>
      <c r="I77" s="231"/>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38.25" customHeight="1">
      <c r="A78" s="366" t="s">
        <v>322</v>
      </c>
      <c r="B78" s="359"/>
      <c r="C78" s="387" t="s">
        <v>388</v>
      </c>
      <c r="D78" s="286">
        <v>783</v>
      </c>
      <c r="E78" s="214" t="s">
        <v>373</v>
      </c>
      <c r="F78" s="383"/>
      <c r="G78" s="376"/>
      <c r="H78" s="158"/>
      <c r="I78" s="231"/>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1.75" customHeight="1">
      <c r="A79" s="367"/>
      <c r="B79" s="360"/>
      <c r="C79" s="389"/>
      <c r="D79" s="261"/>
      <c r="E79" s="287"/>
      <c r="F79" s="385"/>
      <c r="G79" s="377"/>
      <c r="H79" s="260"/>
      <c r="I79" s="260"/>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26.25" customHeight="1">
      <c r="A80" s="229" t="s">
        <v>20</v>
      </c>
      <c r="B80" s="238">
        <f>SUM(B78:B79)</f>
        <v>0</v>
      </c>
      <c r="C80" s="147"/>
      <c r="D80" s="221">
        <f>SUM(D78:D79)</f>
        <v>783</v>
      </c>
      <c r="E80" s="221"/>
      <c r="F80" s="160">
        <f>F78</f>
        <v>0</v>
      </c>
      <c r="G80" s="240"/>
      <c r="H80" s="158">
        <f>SUM(H78:H79)</f>
        <v>0</v>
      </c>
      <c r="I80" s="231"/>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32.25" customHeight="1">
      <c r="A81" s="366" t="s">
        <v>321</v>
      </c>
      <c r="B81" s="390"/>
      <c r="C81" s="217" t="s">
        <v>388</v>
      </c>
      <c r="D81" s="287">
        <v>783</v>
      </c>
      <c r="E81" s="214" t="s">
        <v>373</v>
      </c>
      <c r="F81" s="393"/>
      <c r="G81" s="376"/>
      <c r="H81" s="259"/>
      <c r="I81" s="207"/>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6.5" customHeight="1">
      <c r="A82" s="367"/>
      <c r="B82" s="392"/>
      <c r="C82" s="215"/>
      <c r="D82" s="261"/>
      <c r="E82" s="262"/>
      <c r="F82" s="395"/>
      <c r="G82" s="377"/>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4" customHeight="1">
      <c r="A83" s="229" t="s">
        <v>20</v>
      </c>
      <c r="B83" s="238">
        <f>SUM(B81:B82)</f>
        <v>0</v>
      </c>
      <c r="C83" s="147"/>
      <c r="D83" s="220">
        <f>SUM(D81:D82)</f>
        <v>783</v>
      </c>
      <c r="E83" s="221"/>
      <c r="F83" s="160">
        <f>F81</f>
        <v>0</v>
      </c>
      <c r="G83" s="240"/>
      <c r="H83" s="158">
        <f>SUM(H81:H82)</f>
        <v>0</v>
      </c>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9" ht="36" customHeight="1">
      <c r="A84" s="366" t="s">
        <v>389</v>
      </c>
      <c r="B84" s="359">
        <f>415+2020</f>
        <v>2435</v>
      </c>
      <c r="C84" s="370" t="s">
        <v>392</v>
      </c>
      <c r="D84" s="262">
        <v>783</v>
      </c>
      <c r="E84" s="261" t="s">
        <v>390</v>
      </c>
      <c r="F84" s="396"/>
      <c r="G84" s="376"/>
      <c r="H84" s="152"/>
      <c r="I84" s="207"/>
    </row>
    <row r="85" spans="1:9" ht="39.75" customHeight="1">
      <c r="A85" s="367"/>
      <c r="B85" s="360"/>
      <c r="C85" s="370"/>
      <c r="D85" s="262">
        <v>4</v>
      </c>
      <c r="E85" s="307" t="s">
        <v>364</v>
      </c>
      <c r="F85" s="398"/>
      <c r="G85" s="377"/>
      <c r="H85" s="152"/>
      <c r="I85" s="207"/>
    </row>
    <row r="86" spans="1:114" s="245" customFormat="1" ht="22.5" customHeight="1">
      <c r="A86" s="229" t="s">
        <v>20</v>
      </c>
      <c r="B86" s="252">
        <f>SUM(B84:B84)</f>
        <v>2435</v>
      </c>
      <c r="C86" s="370"/>
      <c r="D86" s="220">
        <f>D85+D84</f>
        <v>787</v>
      </c>
      <c r="E86" s="221"/>
      <c r="F86" s="160">
        <f>F84</f>
        <v>0</v>
      </c>
      <c r="G86" s="240"/>
      <c r="H86" s="250">
        <f>H84</f>
        <v>0</v>
      </c>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174.75" customHeight="1" hidden="1">
      <c r="A87" s="229" t="s">
        <v>20</v>
      </c>
      <c r="B87" s="238">
        <f>SUM(B84:B86)</f>
        <v>4870</v>
      </c>
      <c r="C87" s="146"/>
      <c r="D87" s="221"/>
      <c r="E87" s="220"/>
      <c r="F87" s="159"/>
      <c r="G87" s="240"/>
      <c r="H87" s="158"/>
      <c r="I87" s="158"/>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16.5" customHeight="1" hidden="1">
      <c r="A88" s="263" t="s">
        <v>37</v>
      </c>
      <c r="B88" s="264">
        <v>10999</v>
      </c>
      <c r="C88" s="215" t="s">
        <v>52</v>
      </c>
      <c r="D88" s="221"/>
      <c r="E88" s="220"/>
      <c r="F88" s="159"/>
      <c r="G88" s="240"/>
      <c r="H88" s="158"/>
      <c r="I88" s="158"/>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9" ht="17.25" customHeight="1" hidden="1">
      <c r="A89" s="263" t="s">
        <v>37</v>
      </c>
      <c r="B89" s="264">
        <v>1219</v>
      </c>
      <c r="C89" s="215" t="s">
        <v>43</v>
      </c>
      <c r="D89" s="262"/>
      <c r="E89" s="220"/>
      <c r="F89" s="162"/>
      <c r="G89" s="230"/>
      <c r="H89" s="259"/>
      <c r="I89" s="207"/>
    </row>
    <row r="90" spans="1:114" s="245" customFormat="1" ht="16.5" customHeight="1" hidden="1">
      <c r="A90" s="229" t="s">
        <v>20</v>
      </c>
      <c r="B90" s="238">
        <f>SUM(B88:B89)</f>
        <v>12218</v>
      </c>
      <c r="C90" s="146"/>
      <c r="D90" s="221"/>
      <c r="E90" s="220"/>
      <c r="F90" s="159"/>
      <c r="G90" s="240"/>
      <c r="H90" s="158"/>
      <c r="I90" s="158"/>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row>
    <row r="91" spans="1:114" s="245" customFormat="1" ht="16.5" customHeight="1" hidden="1">
      <c r="A91" s="263" t="s">
        <v>30</v>
      </c>
      <c r="B91" s="261">
        <v>3133</v>
      </c>
      <c r="C91" s="215" t="s">
        <v>44</v>
      </c>
      <c r="D91" s="262"/>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18.75" customHeight="1" hidden="1">
      <c r="A92" s="263" t="s">
        <v>30</v>
      </c>
      <c r="B92" s="261">
        <v>120</v>
      </c>
      <c r="C92" s="215" t="s">
        <v>36</v>
      </c>
      <c r="D92" s="262"/>
      <c r="E92" s="220"/>
      <c r="F92" s="159"/>
      <c r="G92" s="240"/>
      <c r="H92" s="158"/>
      <c r="I92" s="158"/>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18.75" customHeight="1" hidden="1">
      <c r="A93" s="263" t="s">
        <v>30</v>
      </c>
      <c r="B93" s="261">
        <v>210</v>
      </c>
      <c r="C93" s="215" t="s">
        <v>36</v>
      </c>
      <c r="D93" s="262"/>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6.5" customHeight="1" hidden="1">
      <c r="A94" s="229" t="s">
        <v>20</v>
      </c>
      <c r="B94" s="220">
        <f>SUM(B91:B93)</f>
        <v>3463</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7.25" customHeight="1" hidden="1">
      <c r="A95" s="263" t="s">
        <v>31</v>
      </c>
      <c r="B95" s="265">
        <v>60</v>
      </c>
      <c r="C95" s="215" t="s">
        <v>48</v>
      </c>
      <c r="D95" s="265">
        <v>149639.87</v>
      </c>
      <c r="E95" s="289" t="s">
        <v>47</v>
      </c>
      <c r="F95" s="156"/>
      <c r="G95" s="240"/>
      <c r="H95" s="263"/>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7.25" customHeight="1" hidden="1">
      <c r="A96" s="263" t="s">
        <v>31</v>
      </c>
      <c r="B96" s="265">
        <v>3951.33</v>
      </c>
      <c r="C96" s="215" t="s">
        <v>51</v>
      </c>
      <c r="D96" s="265"/>
      <c r="E96" s="289"/>
      <c r="F96" s="156"/>
      <c r="G96" s="240"/>
      <c r="H96" s="263"/>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9" ht="30" customHeight="1">
      <c r="A97" s="366" t="s">
        <v>37</v>
      </c>
      <c r="B97" s="359">
        <f>13985+3626.7+1730</f>
        <v>19341.7</v>
      </c>
      <c r="C97" s="361" t="s">
        <v>393</v>
      </c>
      <c r="D97" s="262">
        <v>783</v>
      </c>
      <c r="E97" s="261" t="s">
        <v>390</v>
      </c>
      <c r="F97" s="396"/>
      <c r="G97" s="376"/>
      <c r="H97" s="259"/>
      <c r="I97" s="207"/>
    </row>
    <row r="98" spans="1:9" ht="33" customHeight="1">
      <c r="A98" s="367"/>
      <c r="B98" s="360"/>
      <c r="C98" s="375"/>
      <c r="D98" s="262">
        <v>4</v>
      </c>
      <c r="E98" s="307" t="s">
        <v>364</v>
      </c>
      <c r="F98" s="398"/>
      <c r="G98" s="377"/>
      <c r="H98" s="162"/>
      <c r="I98" s="213"/>
    </row>
    <row r="99" spans="1:114" s="245" customFormat="1" ht="25.5" customHeight="1">
      <c r="A99" s="229" t="s">
        <v>20</v>
      </c>
      <c r="B99" s="252">
        <f>SUM(B97:B97)</f>
        <v>19341.7</v>
      </c>
      <c r="C99" s="362"/>
      <c r="D99" s="220">
        <f>SUM(D97:D98)</f>
        <v>787</v>
      </c>
      <c r="E99" s="221"/>
      <c r="F99" s="160">
        <f>F97</f>
        <v>0</v>
      </c>
      <c r="G99" s="240"/>
      <c r="H99" s="158">
        <f>SUM(H97:H98)</f>
        <v>0</v>
      </c>
      <c r="I99" s="231"/>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39" customHeight="1">
      <c r="A100" s="366" t="s">
        <v>391</v>
      </c>
      <c r="B100" s="359">
        <v>920</v>
      </c>
      <c r="C100" s="234" t="s">
        <v>394</v>
      </c>
      <c r="D100" s="287">
        <v>783</v>
      </c>
      <c r="E100" s="214" t="s">
        <v>390</v>
      </c>
      <c r="F100" s="396"/>
      <c r="G100" s="376"/>
      <c r="H100" s="259"/>
      <c r="I100" s="207"/>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9" ht="16.5" customHeight="1">
      <c r="A101" s="367"/>
      <c r="B101" s="360"/>
      <c r="C101" s="215"/>
      <c r="D101" s="262"/>
      <c r="E101" s="261"/>
      <c r="F101" s="398"/>
      <c r="G101" s="377"/>
      <c r="H101" s="262"/>
      <c r="I101" s="299"/>
    </row>
    <row r="102" spans="1:114" s="245" customFormat="1" ht="25.5" customHeight="1">
      <c r="A102" s="229" t="s">
        <v>20</v>
      </c>
      <c r="B102" s="238">
        <f>SUM(B100:B100)</f>
        <v>920</v>
      </c>
      <c r="C102" s="147"/>
      <c r="D102" s="220">
        <f>D101+D100</f>
        <v>783</v>
      </c>
      <c r="E102" s="221"/>
      <c r="F102" s="160">
        <f>F100</f>
        <v>0</v>
      </c>
      <c r="G102" s="240"/>
      <c r="H102" s="158">
        <f>SUM(H100:H101)</f>
        <v>0</v>
      </c>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33.75" customHeight="1">
      <c r="A103" s="366" t="s">
        <v>395</v>
      </c>
      <c r="B103" s="359">
        <v>1760</v>
      </c>
      <c r="C103" s="409" t="s">
        <v>394</v>
      </c>
      <c r="D103" s="287">
        <v>1566</v>
      </c>
      <c r="E103" s="214" t="s">
        <v>390</v>
      </c>
      <c r="F103" s="396"/>
      <c r="G103" s="376"/>
      <c r="H103" s="259"/>
      <c r="I103" s="207"/>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25.5" customHeight="1">
      <c r="A104" s="367"/>
      <c r="B104" s="360"/>
      <c r="C104" s="410"/>
      <c r="D104" s="262"/>
      <c r="E104" s="261"/>
      <c r="F104" s="398"/>
      <c r="G104" s="377"/>
      <c r="H104" s="259"/>
      <c r="I104" s="207"/>
    </row>
    <row r="105" spans="1:114" s="245" customFormat="1" ht="21" customHeight="1">
      <c r="A105" s="229" t="s">
        <v>20</v>
      </c>
      <c r="B105" s="238">
        <f>SUM(B103:B104)</f>
        <v>1760</v>
      </c>
      <c r="C105" s="147"/>
      <c r="D105" s="220">
        <f>D104+D103</f>
        <v>1566</v>
      </c>
      <c r="E105" s="221"/>
      <c r="F105" s="160">
        <f>F103</f>
        <v>0</v>
      </c>
      <c r="G105" s="240"/>
      <c r="H105" s="158">
        <f>SUM(H103:H104)</f>
        <v>0</v>
      </c>
      <c r="I105" s="231"/>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row>
    <row r="106" spans="1:114" s="245" customFormat="1" ht="0.75" customHeight="1" hidden="1">
      <c r="A106" s="365" t="s">
        <v>397</v>
      </c>
      <c r="B106" s="369">
        <f>110.7+9462.99+2080</f>
        <v>11653.69</v>
      </c>
      <c r="C106" s="215"/>
      <c r="D106" s="261"/>
      <c r="E106" s="290"/>
      <c r="F106" s="396"/>
      <c r="G106" s="376"/>
      <c r="H106" s="158"/>
      <c r="I106" s="231"/>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114" s="245" customFormat="1" ht="33" customHeight="1">
      <c r="A107" s="365"/>
      <c r="B107" s="369"/>
      <c r="C107" s="366" t="s">
        <v>396</v>
      </c>
      <c r="D107" s="262">
        <v>4</v>
      </c>
      <c r="E107" s="307" t="s">
        <v>364</v>
      </c>
      <c r="F107" s="397"/>
      <c r="G107" s="386"/>
      <c r="H107" s="156"/>
      <c r="I107" s="213"/>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row>
    <row r="108" spans="1:9" ht="35.25" customHeight="1">
      <c r="A108" s="365"/>
      <c r="B108" s="369"/>
      <c r="C108" s="367"/>
      <c r="D108" s="261">
        <v>783</v>
      </c>
      <c r="E108" s="261" t="s">
        <v>390</v>
      </c>
      <c r="F108" s="398"/>
      <c r="G108" s="377"/>
      <c r="H108" s="156"/>
      <c r="I108" s="213"/>
    </row>
    <row r="109" spans="1:114" s="245" customFormat="1" ht="24" customHeight="1">
      <c r="A109" s="229" t="s">
        <v>20</v>
      </c>
      <c r="B109" s="252">
        <f>SUM(B106:B106)</f>
        <v>11653.69</v>
      </c>
      <c r="C109" s="215"/>
      <c r="D109" s="220">
        <f>D108+D106+D107</f>
        <v>787</v>
      </c>
      <c r="E109" s="262"/>
      <c r="F109" s="160">
        <f>F106</f>
        <v>0</v>
      </c>
      <c r="G109" s="240"/>
      <c r="H109" s="250">
        <f>SUM(H106:H108)</f>
        <v>0</v>
      </c>
      <c r="I109" s="231"/>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row>
    <row r="110" spans="1:114" s="245" customFormat="1" ht="37.5" customHeight="1">
      <c r="A110" s="365" t="s">
        <v>58</v>
      </c>
      <c r="B110" s="359"/>
      <c r="C110" s="361" t="s">
        <v>388</v>
      </c>
      <c r="D110" s="261">
        <v>783</v>
      </c>
      <c r="E110" s="262" t="s">
        <v>390</v>
      </c>
      <c r="F110" s="393"/>
      <c r="G110" s="376"/>
      <c r="H110" s="259"/>
      <c r="I110" s="207"/>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15.75" customHeight="1">
      <c r="A111" s="365"/>
      <c r="B111" s="360"/>
      <c r="C111" s="362"/>
      <c r="D111" s="287"/>
      <c r="E111" s="214"/>
      <c r="F111" s="395"/>
      <c r="G111" s="377"/>
      <c r="H111" s="263"/>
      <c r="I111" s="158"/>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9.5" customHeight="1">
      <c r="A112" s="229" t="s">
        <v>20</v>
      </c>
      <c r="B112" s="266">
        <f>B110</f>
        <v>0</v>
      </c>
      <c r="C112" s="146"/>
      <c r="D112" s="266">
        <f>SUM(D110:D111)</f>
        <v>783</v>
      </c>
      <c r="E112" s="220"/>
      <c r="F112" s="159">
        <f>F110</f>
        <v>0</v>
      </c>
      <c r="G112" s="240"/>
      <c r="H112" s="158">
        <f>SUM(H110:H111)</f>
        <v>0</v>
      </c>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114" s="245" customFormat="1" ht="32.25" customHeight="1">
      <c r="A113" s="366" t="s">
        <v>320</v>
      </c>
      <c r="B113" s="402"/>
      <c r="C113" s="215" t="s">
        <v>388</v>
      </c>
      <c r="D113" s="265">
        <v>783</v>
      </c>
      <c r="E113" s="262" t="s">
        <v>398</v>
      </c>
      <c r="F113" s="393"/>
      <c r="G113" s="376"/>
      <c r="H113" s="158"/>
      <c r="I113" s="158"/>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14.25" customHeight="1">
      <c r="A114" s="372"/>
      <c r="B114" s="403"/>
      <c r="C114" s="303"/>
      <c r="D114" s="261"/>
      <c r="E114" s="276"/>
      <c r="F114" s="395"/>
      <c r="G114" s="377"/>
      <c r="H114" s="263"/>
      <c r="I114" s="158"/>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21" customHeight="1">
      <c r="A115" s="229" t="s">
        <v>20</v>
      </c>
      <c r="B115" s="266">
        <f>SUM(B113)</f>
        <v>0</v>
      </c>
      <c r="C115" s="146"/>
      <c r="D115" s="266">
        <f>SUM(D113:D114)</f>
        <v>783</v>
      </c>
      <c r="E115" s="220"/>
      <c r="F115" s="159">
        <f>F113</f>
        <v>0</v>
      </c>
      <c r="G115" s="240"/>
      <c r="H115" s="158">
        <f>SUM(H113:H114)</f>
        <v>0</v>
      </c>
      <c r="I115" s="158"/>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27.75" customHeight="1">
      <c r="A116" s="365" t="s">
        <v>399</v>
      </c>
      <c r="B116" s="402">
        <v>2180</v>
      </c>
      <c r="C116" s="361" t="s">
        <v>370</v>
      </c>
      <c r="D116" s="261">
        <v>2</v>
      </c>
      <c r="E116" s="411" t="s">
        <v>332</v>
      </c>
      <c r="F116" s="393"/>
      <c r="G116" s="376"/>
      <c r="H116" s="261"/>
      <c r="I116" s="299"/>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17.25" customHeight="1">
      <c r="A117" s="365"/>
      <c r="B117" s="404"/>
      <c r="C117" s="362"/>
      <c r="D117" s="287"/>
      <c r="E117" s="417"/>
      <c r="F117" s="395"/>
      <c r="G117" s="377"/>
      <c r="H117" s="158"/>
      <c r="I117" s="158"/>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19.5" customHeight="1">
      <c r="A118" s="229" t="s">
        <v>20</v>
      </c>
      <c r="B118" s="220">
        <f>SUM(B116)</f>
        <v>2180</v>
      </c>
      <c r="C118" s="146"/>
      <c r="D118" s="221">
        <f>SUM(D116:D117)</f>
        <v>2</v>
      </c>
      <c r="E118" s="412"/>
      <c r="F118" s="159">
        <f>F116</f>
        <v>0</v>
      </c>
      <c r="G118" s="240"/>
      <c r="H118" s="158">
        <f>SUM(H116:H117)</f>
        <v>0</v>
      </c>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21" customHeight="1">
      <c r="A119" s="366" t="s">
        <v>59</v>
      </c>
      <c r="B119" s="402">
        <v>1960</v>
      </c>
      <c r="C119" s="218" t="s">
        <v>372</v>
      </c>
      <c r="D119" s="261"/>
      <c r="E119" s="292"/>
      <c r="F119" s="393"/>
      <c r="G119" s="376"/>
      <c r="H119" s="259"/>
      <c r="I119" s="207"/>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15" customHeight="1">
      <c r="A120" s="367"/>
      <c r="B120" s="404"/>
      <c r="C120" s="215"/>
      <c r="D120" s="287"/>
      <c r="E120" s="214"/>
      <c r="F120" s="395"/>
      <c r="G120" s="377"/>
      <c r="H120" s="158"/>
      <c r="I120" s="158"/>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19.5" customHeight="1">
      <c r="A121" s="229" t="s">
        <v>20</v>
      </c>
      <c r="B121" s="220">
        <f>B119</f>
        <v>1960</v>
      </c>
      <c r="C121" s="146"/>
      <c r="D121" s="221">
        <f>D119+D120</f>
        <v>0</v>
      </c>
      <c r="E121" s="261"/>
      <c r="F121" s="159">
        <f>F119</f>
        <v>0</v>
      </c>
      <c r="G121" s="240"/>
      <c r="H121" s="158">
        <f>SUM(H119:H120)</f>
        <v>0</v>
      </c>
      <c r="I121" s="158"/>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30.75" customHeight="1">
      <c r="A122" s="366" t="s">
        <v>323</v>
      </c>
      <c r="B122" s="402"/>
      <c r="C122" s="387" t="s">
        <v>388</v>
      </c>
      <c r="D122" s="262">
        <v>783</v>
      </c>
      <c r="E122" s="280" t="s">
        <v>390</v>
      </c>
      <c r="F122" s="393"/>
      <c r="G122" s="405"/>
      <c r="H122" s="259"/>
      <c r="I122" s="207"/>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16.5" customHeight="1">
      <c r="A123" s="367"/>
      <c r="B123" s="404"/>
      <c r="C123" s="389"/>
      <c r="D123" s="287"/>
      <c r="E123" s="214"/>
      <c r="F123" s="395"/>
      <c r="G123" s="406"/>
      <c r="H123" s="158"/>
      <c r="I123" s="158"/>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21.75" customHeight="1">
      <c r="A124" s="229" t="s">
        <v>20</v>
      </c>
      <c r="B124" s="220">
        <f>B122</f>
        <v>0</v>
      </c>
      <c r="C124" s="146"/>
      <c r="D124" s="221">
        <f>D123+D122</f>
        <v>783</v>
      </c>
      <c r="E124" s="261"/>
      <c r="F124" s="159">
        <f>F122</f>
        <v>0</v>
      </c>
      <c r="G124" s="240"/>
      <c r="H124" s="158">
        <f>SUM(H122:H123)</f>
        <v>0</v>
      </c>
      <c r="I124" s="158"/>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18.75" customHeight="1">
      <c r="A125" s="366" t="s">
        <v>400</v>
      </c>
      <c r="B125" s="402">
        <v>1670</v>
      </c>
      <c r="C125" s="219" t="s">
        <v>372</v>
      </c>
      <c r="D125" s="287"/>
      <c r="E125" s="214"/>
      <c r="F125" s="393"/>
      <c r="G125" s="376"/>
      <c r="H125" s="261"/>
      <c r="I125" s="299"/>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5.75">
      <c r="A126" s="367"/>
      <c r="B126" s="404"/>
      <c r="C126" s="215"/>
      <c r="D126" s="261"/>
      <c r="E126" s="261"/>
      <c r="F126" s="395"/>
      <c r="G126" s="377"/>
      <c r="H126" s="158"/>
      <c r="I126" s="158"/>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9.5" customHeight="1">
      <c r="A127" s="229" t="s">
        <v>20</v>
      </c>
      <c r="B127" s="220">
        <f>SUM(B125)</f>
        <v>1670</v>
      </c>
      <c r="C127" s="146"/>
      <c r="D127" s="221">
        <f>D126+D125</f>
        <v>0</v>
      </c>
      <c r="E127" s="261"/>
      <c r="F127" s="159">
        <f>F125</f>
        <v>0</v>
      </c>
      <c r="G127" s="240"/>
      <c r="H127" s="158">
        <f>SUM(H125:H126)</f>
        <v>0</v>
      </c>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20.25" customHeight="1" hidden="1">
      <c r="A128" s="366" t="s">
        <v>61</v>
      </c>
      <c r="B128" s="402"/>
      <c r="C128" s="387"/>
      <c r="D128" s="287"/>
      <c r="E128" s="214"/>
      <c r="F128" s="393"/>
      <c r="G128" s="376"/>
      <c r="H128" s="259"/>
      <c r="I128" s="207"/>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0.75" customHeight="1" hidden="1">
      <c r="A129" s="372"/>
      <c r="B129" s="403"/>
      <c r="C129" s="389"/>
      <c r="D129" s="293"/>
      <c r="E129" s="293"/>
      <c r="F129" s="394"/>
      <c r="G129" s="386"/>
      <c r="H129" s="158"/>
      <c r="I129" s="158"/>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20.25" customHeight="1" hidden="1">
      <c r="A130" s="367"/>
      <c r="B130" s="404"/>
      <c r="C130" s="215"/>
      <c r="D130" s="261"/>
      <c r="E130" s="280"/>
      <c r="F130" s="395"/>
      <c r="G130" s="377"/>
      <c r="H130" s="158"/>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19.5" customHeight="1" hidden="1">
      <c r="A131" s="229" t="s">
        <v>20</v>
      </c>
      <c r="B131" s="220">
        <f>SUM(B128)</f>
        <v>0</v>
      </c>
      <c r="C131" s="146"/>
      <c r="D131" s="221">
        <f>SUM(D128:D130)</f>
        <v>0</v>
      </c>
      <c r="E131" s="261"/>
      <c r="F131" s="159">
        <f>F128</f>
        <v>0</v>
      </c>
      <c r="G131" s="240"/>
      <c r="H131" s="158">
        <f>SUM(H128:H130)</f>
        <v>0</v>
      </c>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25.5" customHeight="1">
      <c r="A132" s="365" t="s">
        <v>62</v>
      </c>
      <c r="B132" s="408">
        <v>3400</v>
      </c>
      <c r="C132" s="217" t="s">
        <v>372</v>
      </c>
      <c r="D132" s="287">
        <v>3629.28</v>
      </c>
      <c r="E132" s="411" t="s">
        <v>341</v>
      </c>
      <c r="F132" s="393"/>
      <c r="G132" s="376"/>
      <c r="H132" s="259"/>
      <c r="I132" s="207"/>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19.5" customHeight="1">
      <c r="A133" s="365"/>
      <c r="B133" s="408"/>
      <c r="C133" s="215"/>
      <c r="D133" s="261"/>
      <c r="E133" s="417"/>
      <c r="F133" s="395"/>
      <c r="G133" s="377"/>
      <c r="H133" s="158"/>
      <c r="I133" s="158"/>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21" customHeight="1">
      <c r="A134" s="229" t="s">
        <v>20</v>
      </c>
      <c r="B134" s="220">
        <f>SUM(B132)</f>
        <v>3400</v>
      </c>
      <c r="C134" s="146"/>
      <c r="D134" s="221">
        <f>SUM(D132:D133)</f>
        <v>3629.28</v>
      </c>
      <c r="E134" s="412"/>
      <c r="F134" s="159">
        <f>F132</f>
        <v>0</v>
      </c>
      <c r="G134" s="240"/>
      <c r="H134" s="158">
        <f>SUM(H132:H133)</f>
        <v>0</v>
      </c>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7.75" customHeight="1">
      <c r="A135" s="366" t="s">
        <v>46</v>
      </c>
      <c r="B135" s="402"/>
      <c r="C135" s="215" t="s">
        <v>388</v>
      </c>
      <c r="D135" s="261">
        <v>783</v>
      </c>
      <c r="E135" s="280" t="s">
        <v>390</v>
      </c>
      <c r="F135" s="393"/>
      <c r="G135" s="376"/>
      <c r="H135" s="259"/>
      <c r="I135" s="207"/>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18" customHeight="1">
      <c r="A136" s="367"/>
      <c r="B136" s="404"/>
      <c r="C136" s="302"/>
      <c r="D136" s="261"/>
      <c r="E136" s="262"/>
      <c r="F136" s="395"/>
      <c r="G136" s="377"/>
      <c r="H136" s="158"/>
      <c r="I136" s="158"/>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8.75" customHeight="1">
      <c r="A137" s="229" t="s">
        <v>20</v>
      </c>
      <c r="B137" s="220">
        <f>B135</f>
        <v>0</v>
      </c>
      <c r="C137" s="146"/>
      <c r="D137" s="221">
        <f>D136+D135</f>
        <v>783</v>
      </c>
      <c r="E137" s="220"/>
      <c r="F137" s="159">
        <f>F135</f>
        <v>0</v>
      </c>
      <c r="G137" s="240"/>
      <c r="H137" s="158">
        <f>SUM(H135:H136)</f>
        <v>0</v>
      </c>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48" customHeight="1">
      <c r="A138" s="366" t="s">
        <v>63</v>
      </c>
      <c r="B138" s="402">
        <f>6799+2490</f>
        <v>9289</v>
      </c>
      <c r="C138" s="215" t="s">
        <v>401</v>
      </c>
      <c r="D138" s="261">
        <v>1</v>
      </c>
      <c r="E138" s="310" t="s">
        <v>332</v>
      </c>
      <c r="F138" s="393"/>
      <c r="G138" s="376"/>
      <c r="H138" s="158"/>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31.5" customHeight="1">
      <c r="A139" s="367"/>
      <c r="B139" s="404"/>
      <c r="C139" s="215"/>
      <c r="D139" s="286">
        <v>783</v>
      </c>
      <c r="E139" s="280" t="s">
        <v>390</v>
      </c>
      <c r="F139" s="395"/>
      <c r="G139" s="377"/>
      <c r="H139" s="261"/>
      <c r="I139" s="301"/>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23.25" customHeight="1">
      <c r="A140" s="229" t="s">
        <v>20</v>
      </c>
      <c r="B140" s="220">
        <f>B138</f>
        <v>9289</v>
      </c>
      <c r="C140" s="146"/>
      <c r="D140" s="221">
        <f>D139+D138</f>
        <v>784</v>
      </c>
      <c r="E140" s="311"/>
      <c r="F140" s="159">
        <f>F138</f>
        <v>0</v>
      </c>
      <c r="G140" s="240"/>
      <c r="H140" s="158">
        <f>SUM(H138:H139)</f>
        <v>0</v>
      </c>
      <c r="I140" s="158"/>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54" customHeight="1">
      <c r="A141" s="228" t="s">
        <v>402</v>
      </c>
      <c r="B141" s="220"/>
      <c r="C141" s="146"/>
      <c r="D141" s="262">
        <v>214000</v>
      </c>
      <c r="E141" s="261" t="s">
        <v>403</v>
      </c>
      <c r="F141" s="162"/>
      <c r="G141" s="240"/>
      <c r="H141" s="152"/>
      <c r="I141" s="207"/>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23.25" customHeight="1">
      <c r="A142" s="229" t="s">
        <v>20</v>
      </c>
      <c r="B142" s="220">
        <v>0</v>
      </c>
      <c r="C142" s="146"/>
      <c r="D142" s="221">
        <f>D141</f>
        <v>214000</v>
      </c>
      <c r="E142" s="220"/>
      <c r="F142" s="159">
        <v>0</v>
      </c>
      <c r="G142" s="240"/>
      <c r="H142" s="250">
        <f>SUM(H141)</f>
        <v>0</v>
      </c>
      <c r="I142" s="158"/>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31.5" customHeight="1">
      <c r="A143" s="157" t="s">
        <v>272</v>
      </c>
      <c r="B143" s="261"/>
      <c r="C143" s="215" t="s">
        <v>388</v>
      </c>
      <c r="D143" s="286">
        <v>783</v>
      </c>
      <c r="E143" s="214" t="s">
        <v>390</v>
      </c>
      <c r="F143" s="156"/>
      <c r="G143" s="240"/>
      <c r="H143" s="259"/>
      <c r="I143" s="207"/>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4.75" customHeight="1">
      <c r="A144" s="229" t="s">
        <v>20</v>
      </c>
      <c r="B144" s="220">
        <f>B143</f>
        <v>0</v>
      </c>
      <c r="C144" s="146"/>
      <c r="D144" s="221">
        <f>D143</f>
        <v>783</v>
      </c>
      <c r="E144" s="220"/>
      <c r="F144" s="159"/>
      <c r="G144" s="240"/>
      <c r="H144" s="158">
        <f>H143</f>
        <v>0</v>
      </c>
      <c r="I144" s="158"/>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72" customHeight="1">
      <c r="A145" s="157" t="s">
        <v>54</v>
      </c>
      <c r="B145" s="261"/>
      <c r="C145" s="215" t="s">
        <v>331</v>
      </c>
      <c r="D145" s="287">
        <v>1</v>
      </c>
      <c r="E145" s="214" t="s">
        <v>332</v>
      </c>
      <c r="F145" s="156"/>
      <c r="G145" s="240"/>
      <c r="H145" s="259"/>
      <c r="I145" s="207"/>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20.25" customHeight="1">
      <c r="A146" s="229" t="s">
        <v>20</v>
      </c>
      <c r="B146" s="220">
        <f>B145</f>
        <v>0</v>
      </c>
      <c r="C146" s="146"/>
      <c r="D146" s="221">
        <f>D145</f>
        <v>1</v>
      </c>
      <c r="E146" s="220"/>
      <c r="F146" s="159"/>
      <c r="G146" s="240"/>
      <c r="H146" s="158">
        <f>H145</f>
        <v>0</v>
      </c>
      <c r="I146" s="158"/>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30.75" customHeight="1">
      <c r="A147" s="157" t="s">
        <v>66</v>
      </c>
      <c r="B147" s="261"/>
      <c r="C147" s="215"/>
      <c r="D147" s="287">
        <v>783</v>
      </c>
      <c r="E147" s="214" t="s">
        <v>374</v>
      </c>
      <c r="F147" s="156"/>
      <c r="G147" s="240"/>
      <c r="H147" s="259"/>
      <c r="I147" s="207"/>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23.25" customHeight="1">
      <c r="A148" s="229" t="s">
        <v>20</v>
      </c>
      <c r="B148" s="220">
        <f>B147</f>
        <v>0</v>
      </c>
      <c r="C148" s="146"/>
      <c r="D148" s="221">
        <f>D147</f>
        <v>783</v>
      </c>
      <c r="E148" s="220"/>
      <c r="F148" s="159"/>
      <c r="G148" s="240"/>
      <c r="H148" s="158">
        <f>H147</f>
        <v>0</v>
      </c>
      <c r="I148" s="158"/>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36" customHeight="1">
      <c r="A149" s="228" t="s">
        <v>319</v>
      </c>
      <c r="B149" s="220"/>
      <c r="C149" s="146"/>
      <c r="D149" s="287">
        <v>783</v>
      </c>
      <c r="E149" s="214" t="s">
        <v>374</v>
      </c>
      <c r="F149" s="159"/>
      <c r="G149" s="240"/>
      <c r="H149" s="259"/>
      <c r="I149" s="207"/>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29.25" customHeight="1">
      <c r="A150" s="229" t="s">
        <v>20</v>
      </c>
      <c r="B150" s="220">
        <f>B149</f>
        <v>0</v>
      </c>
      <c r="C150" s="146"/>
      <c r="D150" s="221">
        <f>D149</f>
        <v>783</v>
      </c>
      <c r="E150" s="220"/>
      <c r="F150" s="159"/>
      <c r="G150" s="240"/>
      <c r="H150" s="158">
        <f>H149</f>
        <v>0</v>
      </c>
      <c r="I150" s="158"/>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84" customHeight="1">
      <c r="A151" s="157" t="s">
        <v>317</v>
      </c>
      <c r="B151" s="261"/>
      <c r="C151" s="215" t="s">
        <v>334</v>
      </c>
      <c r="D151" s="286">
        <v>1600</v>
      </c>
      <c r="E151" s="214" t="s">
        <v>333</v>
      </c>
      <c r="F151" s="156"/>
      <c r="G151" s="240"/>
      <c r="H151" s="259"/>
      <c r="I151" s="207"/>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24.75" customHeight="1">
      <c r="A152" s="229" t="s">
        <v>20</v>
      </c>
      <c r="B152" s="220">
        <f>SUM(B151)</f>
        <v>0</v>
      </c>
      <c r="C152" s="146"/>
      <c r="D152" s="221">
        <f>D151</f>
        <v>1600</v>
      </c>
      <c r="E152" s="220"/>
      <c r="F152" s="159"/>
      <c r="G152" s="240"/>
      <c r="H152" s="158">
        <f>H151</f>
        <v>0</v>
      </c>
      <c r="I152" s="158"/>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27.75" customHeight="1">
      <c r="A153" s="157" t="s">
        <v>64</v>
      </c>
      <c r="B153" s="261">
        <v>2496</v>
      </c>
      <c r="C153" s="215" t="s">
        <v>342</v>
      </c>
      <c r="D153" s="287"/>
      <c r="E153" s="214"/>
      <c r="F153" s="156"/>
      <c r="G153" s="240"/>
      <c r="H153" s="259"/>
      <c r="I153" s="207"/>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3.25" customHeight="1">
      <c r="A154" s="229" t="s">
        <v>20</v>
      </c>
      <c r="B154" s="220">
        <f>B153</f>
        <v>2496</v>
      </c>
      <c r="C154" s="146"/>
      <c r="D154" s="221">
        <f>D153</f>
        <v>0</v>
      </c>
      <c r="E154" s="220"/>
      <c r="F154" s="159"/>
      <c r="G154" s="240"/>
      <c r="H154" s="158">
        <f>H153</f>
        <v>0</v>
      </c>
      <c r="I154" s="158"/>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24" customHeight="1">
      <c r="A155" s="366" t="s">
        <v>315</v>
      </c>
      <c r="B155" s="402"/>
      <c r="C155" s="361"/>
      <c r="D155" s="287"/>
      <c r="E155" s="214"/>
      <c r="F155" s="156"/>
      <c r="G155" s="240"/>
      <c r="H155" s="259"/>
      <c r="I155" s="207"/>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19.5" customHeight="1">
      <c r="A156" s="372"/>
      <c r="B156" s="403"/>
      <c r="C156" s="375"/>
      <c r="D156" s="261"/>
      <c r="E156" s="276"/>
      <c r="F156" s="156"/>
      <c r="G156" s="240"/>
      <c r="H156" s="158"/>
      <c r="I156" s="158"/>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24" customHeight="1">
      <c r="A157" s="267" t="s">
        <v>20</v>
      </c>
      <c r="B157" s="220">
        <f>B155</f>
        <v>0</v>
      </c>
      <c r="C157" s="362"/>
      <c r="D157" s="220">
        <f>D155+D156</f>
        <v>0</v>
      </c>
      <c r="E157" s="289"/>
      <c r="F157" s="156"/>
      <c r="G157" s="240"/>
      <c r="H157" s="158">
        <f>H155+H156</f>
        <v>0</v>
      </c>
      <c r="I157" s="158"/>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39" customHeight="1">
      <c r="A158" s="157" t="s">
        <v>318</v>
      </c>
      <c r="B158" s="261"/>
      <c r="C158" s="215"/>
      <c r="D158" s="286"/>
      <c r="E158" s="214"/>
      <c r="F158" s="156"/>
      <c r="G158" s="240"/>
      <c r="H158" s="152"/>
      <c r="I158" s="207"/>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24.75" customHeight="1" thickBot="1">
      <c r="A159" s="229" t="s">
        <v>20</v>
      </c>
      <c r="B159" s="238">
        <f>B158</f>
        <v>0</v>
      </c>
      <c r="C159" s="146"/>
      <c r="D159" s="294">
        <f>D158</f>
        <v>0</v>
      </c>
      <c r="E159" s="220"/>
      <c r="F159" s="159"/>
      <c r="G159" s="240"/>
      <c r="H159" s="250">
        <f>H158</f>
        <v>0</v>
      </c>
      <c r="I159" s="158"/>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69" customFormat="1" ht="60.75" customHeight="1" thickBot="1">
      <c r="A160" s="253" t="s">
        <v>324</v>
      </c>
      <c r="B160" s="220">
        <f>SUM(B150+B66+B69+B73+B77+B80+B83+B86+B99+B102+B105+B109+B112+B157+B115+B118+B121+B124+B127+B131+B134+B137+B140+B144+B146+B148+B152+B154+B159)</f>
        <v>63555.39</v>
      </c>
      <c r="C160" s="220"/>
      <c r="D160" s="308">
        <f>SUM(D150+D66+D69+D73+D77+D157+D80+D83+D86+D99+D102+D105+D109+D112+D115+D118+D121+D124+D127+D131+D134+D137+D140+D144+D146+D148+D152+D154+D159+D142)</f>
        <v>396242.74</v>
      </c>
      <c r="E160" s="220">
        <f>SUM(E150+E66+E69+E73+E77+E157+E80+E83+E86+E99+E102+E105+E109+E112+E115+E118+E121+E124+E127+E131+E134+E137+E140+E144+E146+E148+E152+E154+E159)</f>
        <v>0</v>
      </c>
      <c r="F160" s="220">
        <f>SUM(F150+F66+F69+F73+F77+F157+F80+F83+F86+F99+F102+F105+F109+F112+F115+F118+F121+F124+F127+F131+F134+F137+F140+F144+F146+F148+F152+F154+F159)</f>
        <v>0</v>
      </c>
      <c r="G160" s="220">
        <f>SUM(G150+G66+G69+G73+G77+G157+G80+G83+G86+G99+G102+G105+G109+G112+G115+G118+G121+G124+G127+G131+G134+G137+G140+G144+G146+G148+G152+G154+G159)</f>
        <v>0</v>
      </c>
      <c r="H160" s="220">
        <f>SUM(H150+H66+H69+H73+H77+H157+H80+H83+H86+H99+H102+H105+H109+H112+H115+H118+H121+H124+H127+H131+H134+H137+H140+H144+H146+H148+H152+H154+H159)+H142</f>
        <v>0</v>
      </c>
      <c r="I160" s="220">
        <f>SUM(I150+I66+I69+I73+I77+I157+I80+I83+I86+I99+I102+I105+I109+I112+I115+I118+I121+I124+I127+I131+I134+I137+I140+I144+I146+I148+I152+I154+I159)</f>
        <v>0</v>
      </c>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8"/>
      <c r="CZ160" s="268"/>
      <c r="DA160" s="268"/>
      <c r="DB160" s="268"/>
      <c r="DC160" s="268"/>
      <c r="DD160" s="268"/>
      <c r="DE160" s="268"/>
      <c r="DF160" s="268"/>
      <c r="DG160" s="268"/>
      <c r="DH160" s="268"/>
      <c r="DI160" s="268"/>
      <c r="DJ160" s="268"/>
    </row>
    <row r="161" spans="1:114" s="269" customFormat="1" ht="79.5" customHeight="1" thickBot="1">
      <c r="A161" s="229" t="s">
        <v>325</v>
      </c>
      <c r="B161" s="221">
        <f>SUM(B63+B160)</f>
        <v>186602.60000000003</v>
      </c>
      <c r="C161" s="221"/>
      <c r="D161" s="309">
        <f aca="true" t="shared" si="0" ref="D161:I161">D160+D63</f>
        <v>397812.74</v>
      </c>
      <c r="E161" s="221">
        <f t="shared" si="0"/>
        <v>0</v>
      </c>
      <c r="F161" s="221">
        <f t="shared" si="0"/>
        <v>0</v>
      </c>
      <c r="G161" s="221">
        <f t="shared" si="0"/>
        <v>0</v>
      </c>
      <c r="H161" s="221">
        <f t="shared" si="0"/>
        <v>0</v>
      </c>
      <c r="I161" s="221">
        <f t="shared" si="0"/>
        <v>0</v>
      </c>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row>
    <row r="162" spans="1:114" s="272" customFormat="1" ht="9.75" customHeight="1" hidden="1">
      <c r="A162" s="222"/>
      <c r="B162" s="270"/>
      <c r="C162" s="222"/>
      <c r="D162" s="295"/>
      <c r="E162" s="273"/>
      <c r="F162" s="271"/>
      <c r="G162" s="271"/>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2"/>
      <c r="BW162" s="232"/>
      <c r="BX162" s="232"/>
      <c r="BY162" s="232"/>
      <c r="BZ162" s="232"/>
      <c r="CA162" s="232"/>
      <c r="CB162" s="232"/>
      <c r="CC162" s="232"/>
      <c r="CD162" s="232"/>
      <c r="CE162" s="232"/>
      <c r="CF162" s="232"/>
      <c r="CG162" s="232"/>
      <c r="CH162" s="232"/>
      <c r="CI162" s="232"/>
      <c r="CJ162" s="232"/>
      <c r="CK162" s="232"/>
      <c r="CL162" s="232"/>
      <c r="CM162" s="232"/>
      <c r="CN162" s="232"/>
      <c r="CO162" s="232"/>
      <c r="CP162" s="232"/>
      <c r="CQ162" s="232"/>
      <c r="CR162" s="232"/>
      <c r="CS162" s="232"/>
      <c r="CT162" s="232"/>
      <c r="CU162" s="232"/>
      <c r="CV162" s="232"/>
      <c r="CW162" s="232"/>
      <c r="CX162" s="232"/>
      <c r="CY162" s="232"/>
      <c r="CZ162" s="232"/>
      <c r="DA162" s="232"/>
      <c r="DB162" s="232"/>
      <c r="DC162" s="232"/>
      <c r="DD162" s="232"/>
      <c r="DE162" s="232"/>
      <c r="DF162" s="232"/>
      <c r="DG162" s="232"/>
      <c r="DH162" s="232"/>
      <c r="DI162" s="232"/>
      <c r="DJ162" s="232"/>
    </row>
    <row r="163" spans="1:114" s="272" customFormat="1" ht="33" customHeight="1">
      <c r="A163" s="223" t="s">
        <v>326</v>
      </c>
      <c r="B163" s="273"/>
      <c r="C163" s="223"/>
      <c r="D163" s="295"/>
      <c r="E163" s="273" t="s">
        <v>34</v>
      </c>
      <c r="F163" s="271"/>
      <c r="G163" s="223" t="s">
        <v>343</v>
      </c>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row>
    <row r="164" spans="1:9" ht="20.25" customHeight="1">
      <c r="A164" s="222" t="s">
        <v>35</v>
      </c>
      <c r="B164" s="270"/>
      <c r="C164" s="224"/>
      <c r="D164" s="296"/>
      <c r="E164" s="300"/>
      <c r="F164" s="222"/>
      <c r="G164" s="222" t="s">
        <v>344</v>
      </c>
      <c r="H164" s="182"/>
      <c r="I164" s="182"/>
    </row>
    <row r="165" spans="1:10" ht="20.25" customHeight="1">
      <c r="A165" s="224" t="s">
        <v>345</v>
      </c>
      <c r="B165" s="224"/>
      <c r="C165" s="224"/>
      <c r="D165" s="295"/>
      <c r="E165" s="298"/>
      <c r="F165" s="274"/>
      <c r="G165" s="274"/>
      <c r="H165" s="182"/>
      <c r="I165" s="246"/>
      <c r="J165" s="182" t="s">
        <v>327</v>
      </c>
    </row>
    <row r="166" spans="1:9" ht="20.25" customHeight="1">
      <c r="A166" s="224" t="s">
        <v>346</v>
      </c>
      <c r="B166" s="224"/>
      <c r="C166" s="224"/>
      <c r="D166" s="295"/>
      <c r="E166" s="298"/>
      <c r="F166" s="274"/>
      <c r="G166" s="274"/>
      <c r="H166" s="182"/>
      <c r="I166" s="182"/>
    </row>
    <row r="167" spans="1:9" ht="12" customHeight="1">
      <c r="A167" s="182"/>
      <c r="B167" s="225"/>
      <c r="C167" s="225"/>
      <c r="D167" s="297"/>
      <c r="E167" s="225"/>
      <c r="F167" s="182"/>
      <c r="G167" s="182"/>
      <c r="H167" s="182"/>
      <c r="I167" s="182"/>
    </row>
    <row r="168" spans="1:9" ht="15.75">
      <c r="A168" s="182"/>
      <c r="B168" s="225"/>
      <c r="C168" s="225"/>
      <c r="D168" s="297"/>
      <c r="E168" s="225"/>
      <c r="F168" s="182"/>
      <c r="G168" s="182"/>
      <c r="H168" s="182"/>
      <c r="I168" s="182"/>
    </row>
    <row r="169" spans="1:9" ht="15.75">
      <c r="A169" s="182"/>
      <c r="B169" s="225"/>
      <c r="C169" s="225"/>
      <c r="D169" s="297"/>
      <c r="E169" s="225"/>
      <c r="F169" s="182"/>
      <c r="G169" s="182"/>
      <c r="H169" s="182"/>
      <c r="I169" s="182"/>
    </row>
  </sheetData>
  <sheetProtection/>
  <mergeCells count="164">
    <mergeCell ref="A18:A19"/>
    <mergeCell ref="A138:A139"/>
    <mergeCell ref="B138:B139"/>
    <mergeCell ref="F138:F139"/>
    <mergeCell ref="G138:G139"/>
    <mergeCell ref="F132:F133"/>
    <mergeCell ref="G132:G133"/>
    <mergeCell ref="F135:F136"/>
    <mergeCell ref="G135:G136"/>
    <mergeCell ref="A125:A126"/>
    <mergeCell ref="A155:A156"/>
    <mergeCell ref="B155:B156"/>
    <mergeCell ref="C155:C157"/>
    <mergeCell ref="A132:A133"/>
    <mergeCell ref="B132:B133"/>
    <mergeCell ref="E132:E134"/>
    <mergeCell ref="A135:A136"/>
    <mergeCell ref="B135:B136"/>
    <mergeCell ref="B125:B126"/>
    <mergeCell ref="F125:F126"/>
    <mergeCell ref="G125:G126"/>
    <mergeCell ref="A128:A130"/>
    <mergeCell ref="B128:B130"/>
    <mergeCell ref="C128:C129"/>
    <mergeCell ref="F128:F130"/>
    <mergeCell ref="G128:G130"/>
    <mergeCell ref="A119:A120"/>
    <mergeCell ref="B119:B120"/>
    <mergeCell ref="F119:F120"/>
    <mergeCell ref="G119:G120"/>
    <mergeCell ref="A122:A123"/>
    <mergeCell ref="B122:B123"/>
    <mergeCell ref="C122:C123"/>
    <mergeCell ref="F122:F123"/>
    <mergeCell ref="G122:G123"/>
    <mergeCell ref="A113:A114"/>
    <mergeCell ref="B113:B114"/>
    <mergeCell ref="F113:F114"/>
    <mergeCell ref="G113:G114"/>
    <mergeCell ref="A116:A117"/>
    <mergeCell ref="B116:B117"/>
    <mergeCell ref="E116:E118"/>
    <mergeCell ref="F116:F117"/>
    <mergeCell ref="G116:G117"/>
    <mergeCell ref="C116:C117"/>
    <mergeCell ref="A106:A108"/>
    <mergeCell ref="B106:B108"/>
    <mergeCell ref="F106:F108"/>
    <mergeCell ref="G106:G108"/>
    <mergeCell ref="C107:C108"/>
    <mergeCell ref="A110:A111"/>
    <mergeCell ref="B110:B111"/>
    <mergeCell ref="C110:C111"/>
    <mergeCell ref="F110:F111"/>
    <mergeCell ref="G110:G111"/>
    <mergeCell ref="A100:A101"/>
    <mergeCell ref="B100:B101"/>
    <mergeCell ref="F100:F101"/>
    <mergeCell ref="G100:G101"/>
    <mergeCell ref="A103:A104"/>
    <mergeCell ref="B103:B104"/>
    <mergeCell ref="C103:C104"/>
    <mergeCell ref="F103:F104"/>
    <mergeCell ref="G103:G104"/>
    <mergeCell ref="A84:A85"/>
    <mergeCell ref="B84:B85"/>
    <mergeCell ref="C84:C86"/>
    <mergeCell ref="F84:F85"/>
    <mergeCell ref="G84:G85"/>
    <mergeCell ref="A97:A98"/>
    <mergeCell ref="B97:B98"/>
    <mergeCell ref="C97:C99"/>
    <mergeCell ref="F97:F98"/>
    <mergeCell ref="G97:G98"/>
    <mergeCell ref="A78:A79"/>
    <mergeCell ref="B78:B79"/>
    <mergeCell ref="C78:C79"/>
    <mergeCell ref="F78:F79"/>
    <mergeCell ref="G78:G79"/>
    <mergeCell ref="A81:A82"/>
    <mergeCell ref="B81:B82"/>
    <mergeCell ref="F81:F82"/>
    <mergeCell ref="G81:G82"/>
    <mergeCell ref="A70:A72"/>
    <mergeCell ref="B70:B72"/>
    <mergeCell ref="C70:C72"/>
    <mergeCell ref="F70:F72"/>
    <mergeCell ref="G70:G72"/>
    <mergeCell ref="A74:A76"/>
    <mergeCell ref="B74:B76"/>
    <mergeCell ref="F74:F76"/>
    <mergeCell ref="G74:G76"/>
    <mergeCell ref="C74:C76"/>
    <mergeCell ref="A64:A65"/>
    <mergeCell ref="B64:B65"/>
    <mergeCell ref="C64:C66"/>
    <mergeCell ref="A67:A68"/>
    <mergeCell ref="B67:B68"/>
    <mergeCell ref="C67:C69"/>
    <mergeCell ref="A57:A58"/>
    <mergeCell ref="B57:B58"/>
    <mergeCell ref="C57:C58"/>
    <mergeCell ref="A60:A61"/>
    <mergeCell ref="B60:B61"/>
    <mergeCell ref="C60:C61"/>
    <mergeCell ref="A51:A52"/>
    <mergeCell ref="B51:B52"/>
    <mergeCell ref="C51:C52"/>
    <mergeCell ref="A54:A55"/>
    <mergeCell ref="B54:B55"/>
    <mergeCell ref="C54:C56"/>
    <mergeCell ref="A45:A46"/>
    <mergeCell ref="B45:B46"/>
    <mergeCell ref="C45:C46"/>
    <mergeCell ref="A48:A49"/>
    <mergeCell ref="B48:B49"/>
    <mergeCell ref="C48:C49"/>
    <mergeCell ref="A39:A40"/>
    <mergeCell ref="B39:B40"/>
    <mergeCell ref="C39:C40"/>
    <mergeCell ref="A42:A43"/>
    <mergeCell ref="B42:B43"/>
    <mergeCell ref="C42:C44"/>
    <mergeCell ref="A33:A34"/>
    <mergeCell ref="B33:B34"/>
    <mergeCell ref="C33:C34"/>
    <mergeCell ref="A36:A37"/>
    <mergeCell ref="B36:B37"/>
    <mergeCell ref="C36:C38"/>
    <mergeCell ref="G26:G27"/>
    <mergeCell ref="H26:H27"/>
    <mergeCell ref="I26:I27"/>
    <mergeCell ref="A30:A31"/>
    <mergeCell ref="B30:B31"/>
    <mergeCell ref="C30:C31"/>
    <mergeCell ref="A26:A28"/>
    <mergeCell ref="B26:B28"/>
    <mergeCell ref="C26:C28"/>
    <mergeCell ref="D26:D27"/>
    <mergeCell ref="E26:E27"/>
    <mergeCell ref="F26:F27"/>
    <mergeCell ref="A20:A21"/>
    <mergeCell ref="B20:B21"/>
    <mergeCell ref="C20:C21"/>
    <mergeCell ref="A23:A24"/>
    <mergeCell ref="B23:B24"/>
    <mergeCell ref="C23:C24"/>
    <mergeCell ref="H9:I10"/>
    <mergeCell ref="A12:A13"/>
    <mergeCell ref="B12:B13"/>
    <mergeCell ref="C12:C13"/>
    <mergeCell ref="A15:A16"/>
    <mergeCell ref="B15:B16"/>
    <mergeCell ref="C15:C16"/>
    <mergeCell ref="G4:I4"/>
    <mergeCell ref="A5:I5"/>
    <mergeCell ref="A6:I6"/>
    <mergeCell ref="A7:I7"/>
    <mergeCell ref="A8:A11"/>
    <mergeCell ref="B8:E8"/>
    <mergeCell ref="F8:I8"/>
    <mergeCell ref="B9:C10"/>
    <mergeCell ref="D9:E10"/>
    <mergeCell ref="F9:G10"/>
  </mergeCells>
  <printOptions/>
  <pageMargins left="0.31496062992125984" right="0.11811023622047245" top="0.7480314960629921" bottom="0.7480314960629921" header="0.31496062992125984" footer="0.31496062992125984"/>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DJ170"/>
  <sheetViews>
    <sheetView zoomScalePageLayoutView="0" workbookViewId="0" topLeftCell="A9">
      <pane xSplit="1" ySplit="3" topLeftCell="B152" activePane="bottomRight" state="frozen"/>
      <selection pane="topLeft" activeCell="A9" sqref="A9"/>
      <selection pane="topRight" activeCell="B9" sqref="B9"/>
      <selection pane="bottomLeft" activeCell="A12" sqref="A12"/>
      <selection pane="bottomRight" activeCell="B162" sqref="B162:D162"/>
    </sheetView>
  </sheetViews>
  <sheetFormatPr defaultColWidth="25.7109375" defaultRowHeight="15"/>
  <cols>
    <col min="1" max="1" width="14.28125" style="4" customWidth="1"/>
    <col min="2" max="2" width="12.57421875" style="226" customWidth="1"/>
    <col min="3" max="3" width="36.7109375" style="226" customWidth="1"/>
    <col min="4" max="4" width="9.421875" style="275" customWidth="1"/>
    <col min="5" max="5" width="19.00390625" style="226" customWidth="1"/>
    <col min="6" max="6" width="9.28125" style="4" customWidth="1"/>
    <col min="7" max="7" width="8.8515625" style="4" customWidth="1"/>
    <col min="8" max="8" width="9.28125" style="4" customWidth="1"/>
    <col min="9" max="9" width="14.85156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366</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24</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27.75" customHeight="1">
      <c r="A15" s="366" t="s">
        <v>7</v>
      </c>
      <c r="B15" s="359">
        <f>776.6+847.8+13872</f>
        <v>15496.4</v>
      </c>
      <c r="C15" s="361" t="s">
        <v>356</v>
      </c>
      <c r="D15" s="214"/>
      <c r="E15" s="276"/>
      <c r="F15" s="236"/>
      <c r="G15" s="230"/>
      <c r="H15" s="228"/>
      <c r="I15" s="213"/>
      <c r="J15" s="235"/>
      <c r="K15" s="246"/>
    </row>
    <row r="16" spans="1:11" ht="13.5" customHeight="1">
      <c r="A16" s="367"/>
      <c r="B16" s="360"/>
      <c r="C16" s="362"/>
      <c r="D16" s="214"/>
      <c r="E16" s="261"/>
      <c r="F16" s="236"/>
      <c r="G16" s="230"/>
      <c r="H16" s="228"/>
      <c r="I16" s="228"/>
      <c r="J16" s="235"/>
      <c r="K16" s="246"/>
    </row>
    <row r="17" spans="1:114" s="245" customFormat="1" ht="22.5" customHeight="1">
      <c r="A17" s="229" t="s">
        <v>19</v>
      </c>
      <c r="B17" s="238">
        <f>SUM(B15)</f>
        <v>15496.4</v>
      </c>
      <c r="C17" s="215"/>
      <c r="D17" s="279">
        <f>D16+D15</f>
        <v>0</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05" t="s">
        <v>32</v>
      </c>
      <c r="B18" s="306">
        <v>670</v>
      </c>
      <c r="C18" s="215" t="s">
        <v>353</v>
      </c>
      <c r="D18" s="214"/>
      <c r="E18" s="276"/>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229" t="s">
        <v>19</v>
      </c>
      <c r="B19" s="238">
        <f>SUM(B18)</f>
        <v>670</v>
      </c>
      <c r="C19" s="303"/>
      <c r="D19" s="279">
        <f>D18</f>
        <v>0</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32.25" customHeight="1">
      <c r="A20" s="366" t="s">
        <v>55</v>
      </c>
      <c r="B20" s="359">
        <f>537+3249.47+3550</f>
        <v>7336.469999999999</v>
      </c>
      <c r="C20" s="361" t="s">
        <v>367</v>
      </c>
      <c r="D20" s="214"/>
      <c r="E20" s="276"/>
      <c r="F20" s="236"/>
      <c r="G20" s="230"/>
      <c r="H20" s="228"/>
      <c r="I20" s="213"/>
      <c r="J20" s="235"/>
      <c r="K20" s="246"/>
    </row>
    <row r="21" spans="1:11" ht="33.75" customHeight="1">
      <c r="A21" s="367"/>
      <c r="B21" s="360"/>
      <c r="C21" s="416"/>
      <c r="D21" s="249"/>
      <c r="E21" s="261"/>
      <c r="F21" s="236"/>
      <c r="G21" s="230"/>
      <c r="H21" s="228"/>
      <c r="I21" s="228"/>
      <c r="J21" s="235"/>
      <c r="K21" s="246"/>
    </row>
    <row r="22" spans="1:114" s="245" customFormat="1" ht="28.5" customHeight="1">
      <c r="A22" s="229" t="s">
        <v>20</v>
      </c>
      <c r="B22" s="238">
        <f>B20</f>
        <v>7336.469999999999</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47.25" customHeight="1">
      <c r="A23" s="366" t="s">
        <v>8</v>
      </c>
      <c r="B23" s="359">
        <v>2940</v>
      </c>
      <c r="C23" s="361" t="s">
        <v>335</v>
      </c>
      <c r="D23" s="214"/>
      <c r="E23" s="276"/>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18" customHeight="1">
      <c r="A26" s="366" t="s">
        <v>9</v>
      </c>
      <c r="B26" s="359">
        <v>697</v>
      </c>
      <c r="C26" s="361" t="s">
        <v>352</v>
      </c>
      <c r="D26" s="357"/>
      <c r="E26" s="357"/>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357"/>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0</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10</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42.75" customHeight="1">
      <c r="A33" s="365" t="s">
        <v>11</v>
      </c>
      <c r="B33" s="369">
        <f>24050+1000</f>
        <v>25050</v>
      </c>
      <c r="C33" s="370" t="s">
        <v>357</v>
      </c>
      <c r="D33" s="214"/>
      <c r="E33" s="214"/>
      <c r="F33" s="251"/>
      <c r="G33" s="230"/>
      <c r="H33" s="207"/>
      <c r="I33" s="207"/>
      <c r="J33" s="235"/>
    </row>
    <row r="34" spans="1:10" ht="24.75" customHeight="1">
      <c r="A34" s="365"/>
      <c r="B34" s="369"/>
      <c r="C34" s="370"/>
      <c r="D34" s="214"/>
      <c r="E34" s="261"/>
      <c r="F34" s="251"/>
      <c r="G34" s="230"/>
      <c r="H34" s="207"/>
      <c r="I34" s="207"/>
      <c r="J34" s="235"/>
    </row>
    <row r="35" spans="1:114" s="245" customFormat="1" ht="27.75" customHeight="1">
      <c r="A35" s="229" t="s">
        <v>20</v>
      </c>
      <c r="B35" s="238">
        <f>SUM(B33:B34)</f>
        <v>25050</v>
      </c>
      <c r="C35" s="146"/>
      <c r="D35" s="285">
        <f>D34+D33</f>
        <v>0</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0.25" customHeight="1">
      <c r="A36" s="365" t="s">
        <v>49</v>
      </c>
      <c r="B36" s="369">
        <f>179.8+747</f>
        <v>926.8</v>
      </c>
      <c r="C36" s="361" t="s">
        <v>358</v>
      </c>
      <c r="D36" s="214"/>
      <c r="E36" s="214"/>
      <c r="F36" s="251"/>
      <c r="G36" s="230"/>
      <c r="H36" s="207"/>
      <c r="I36" s="207"/>
      <c r="J36" s="235"/>
    </row>
    <row r="37" spans="1:10" ht="12" customHeight="1">
      <c r="A37" s="365"/>
      <c r="B37" s="369"/>
      <c r="C37" s="375"/>
      <c r="D37" s="262"/>
      <c r="E37" s="261"/>
      <c r="F37" s="251"/>
      <c r="G37" s="230"/>
      <c r="H37" s="207"/>
      <c r="I37" s="207"/>
      <c r="J37" s="235"/>
    </row>
    <row r="38" spans="1:114" s="245" customFormat="1" ht="36" customHeight="1">
      <c r="A38" s="229" t="s">
        <v>20</v>
      </c>
      <c r="B38" s="238">
        <f>SUM(B36:B37)</f>
        <v>926.8</v>
      </c>
      <c r="C38" s="362"/>
      <c r="D38" s="221">
        <f>D37+D36</f>
        <v>0</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63"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757+675+552</f>
        <v>1984</v>
      </c>
      <c r="C42" s="361" t="s">
        <v>368</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1984</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361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23.25" customHeight="1">
      <c r="A46" s="367"/>
      <c r="B46" s="360"/>
      <c r="C46" s="362"/>
      <c r="D46" s="214"/>
      <c r="E46" s="214"/>
      <c r="F46" s="152"/>
      <c r="G46" s="230"/>
      <c r="H46" s="207"/>
      <c r="I46" s="207"/>
      <c r="J46" s="235"/>
    </row>
    <row r="47" spans="1:114" s="245" customFormat="1" ht="31.5" customHeight="1">
      <c r="A47" s="229" t="s">
        <v>20</v>
      </c>
      <c r="B47" s="238">
        <f>SUM(B45)</f>
        <v>1330</v>
      </c>
      <c r="C47" s="215"/>
      <c r="D47" s="220">
        <f>D46+D45</f>
        <v>4</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123047.21000000002</v>
      </c>
      <c r="C63" s="147"/>
      <c r="D63" s="254">
        <f>D62+D59+D56+D53+D50+D47+D44+D41+D38+D35+D32+D29+D25+D22+D19+D17+D14</f>
        <v>4</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c r="C64" s="361"/>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c r="C67" s="361"/>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35.25" customHeight="1">
      <c r="A70" s="365" t="s">
        <v>329</v>
      </c>
      <c r="B70" s="369"/>
      <c r="C70" s="387"/>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24" customHeight="1">
      <c r="A71" s="365"/>
      <c r="B71" s="369"/>
      <c r="C71" s="389"/>
      <c r="D71" s="261"/>
      <c r="E71" s="276"/>
      <c r="F71" s="385"/>
      <c r="G71" s="377"/>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229" t="s">
        <v>20</v>
      </c>
      <c r="B72" s="238">
        <f>B70</f>
        <v>0</v>
      </c>
      <c r="C72" s="146"/>
      <c r="D72" s="220">
        <f>SUM(D70:D71)</f>
        <v>4</v>
      </c>
      <c r="E72" s="221"/>
      <c r="F72" s="250">
        <f>F70</f>
        <v>0</v>
      </c>
      <c r="G72" s="240"/>
      <c r="H72" s="159">
        <f>SUM(H70:H71)</f>
        <v>0</v>
      </c>
      <c r="I72" s="231"/>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4" customHeight="1">
      <c r="A73" s="366" t="s">
        <v>38</v>
      </c>
      <c r="B73" s="359"/>
      <c r="C73" s="233"/>
      <c r="D73" s="214"/>
      <c r="E73" s="214"/>
      <c r="F73" s="383"/>
      <c r="G73" s="376"/>
      <c r="H73" s="159"/>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1.75" customHeight="1">
      <c r="A74" s="372"/>
      <c r="B74" s="373"/>
      <c r="C74" s="418"/>
      <c r="D74" s="261"/>
      <c r="E74" s="276"/>
      <c r="F74" s="384"/>
      <c r="G74" s="386"/>
      <c r="H74" s="207"/>
      <c r="I74" s="207"/>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9" ht="2.25" customHeight="1" hidden="1">
      <c r="A75" s="367"/>
      <c r="B75" s="360"/>
      <c r="C75" s="419"/>
      <c r="D75" s="261"/>
      <c r="E75" s="287"/>
      <c r="F75" s="385"/>
      <c r="G75" s="377"/>
      <c r="H75" s="259"/>
      <c r="I75" s="207"/>
    </row>
    <row r="76" spans="1:114" s="245" customFormat="1" ht="19.5" customHeight="1">
      <c r="A76" s="229" t="s">
        <v>20</v>
      </c>
      <c r="B76" s="238">
        <f>SUM(B73:B73)</f>
        <v>0</v>
      </c>
      <c r="C76" s="146"/>
      <c r="D76" s="220">
        <f>SUM(D73:D75)</f>
        <v>0</v>
      </c>
      <c r="E76" s="288"/>
      <c r="F76" s="250">
        <f>F73</f>
        <v>0</v>
      </c>
      <c r="G76" s="240"/>
      <c r="H76" s="158">
        <f>SUM(H74:H75)</f>
        <v>0</v>
      </c>
      <c r="I76" s="231"/>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4" customHeight="1">
      <c r="A77" s="366" t="s">
        <v>322</v>
      </c>
      <c r="B77" s="359"/>
      <c r="C77" s="387"/>
      <c r="D77" s="287"/>
      <c r="E77" s="214"/>
      <c r="F77" s="383"/>
      <c r="G77" s="376"/>
      <c r="H77" s="158"/>
      <c r="I77" s="231"/>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1.75" customHeight="1">
      <c r="A78" s="367"/>
      <c r="B78" s="360"/>
      <c r="C78" s="389"/>
      <c r="D78" s="261"/>
      <c r="E78" s="287"/>
      <c r="F78" s="385"/>
      <c r="G78" s="377"/>
      <c r="H78" s="260"/>
      <c r="I78" s="260"/>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6.25" customHeight="1">
      <c r="A79" s="229" t="s">
        <v>20</v>
      </c>
      <c r="B79" s="238">
        <f>SUM(B77:B78)</f>
        <v>0</v>
      </c>
      <c r="C79" s="147"/>
      <c r="D79" s="221">
        <f>SUM(D77:D78)</f>
        <v>0</v>
      </c>
      <c r="E79" s="221"/>
      <c r="F79" s="160">
        <f>F77</f>
        <v>0</v>
      </c>
      <c r="G79" s="240"/>
      <c r="H79" s="158">
        <f>SUM(H77:H78)</f>
        <v>0</v>
      </c>
      <c r="I79" s="231"/>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19.5" customHeight="1">
      <c r="A80" s="366" t="s">
        <v>321</v>
      </c>
      <c r="B80" s="390"/>
      <c r="C80" s="409"/>
      <c r="D80" s="287"/>
      <c r="E80" s="214"/>
      <c r="F80" s="393"/>
      <c r="G80" s="376"/>
      <c r="H80" s="259"/>
      <c r="I80" s="207"/>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17.25" customHeight="1">
      <c r="A81" s="372"/>
      <c r="B81" s="391"/>
      <c r="C81" s="410"/>
      <c r="D81" s="262"/>
      <c r="E81" s="276"/>
      <c r="F81" s="394"/>
      <c r="G81" s="386"/>
      <c r="H81" s="259"/>
      <c r="I81" s="207"/>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6.5" customHeight="1">
      <c r="A82" s="367"/>
      <c r="B82" s="392"/>
      <c r="C82" s="215"/>
      <c r="D82" s="261"/>
      <c r="E82" s="262"/>
      <c r="F82" s="395"/>
      <c r="G82" s="377"/>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4" customHeight="1">
      <c r="A83" s="229" t="s">
        <v>20</v>
      </c>
      <c r="B83" s="238">
        <f>SUM(B80:B82)</f>
        <v>0</v>
      </c>
      <c r="C83" s="147"/>
      <c r="D83" s="220">
        <f>D82+D80+D81</f>
        <v>0</v>
      </c>
      <c r="E83" s="221"/>
      <c r="F83" s="160">
        <f>F80</f>
        <v>0</v>
      </c>
      <c r="G83" s="240"/>
      <c r="H83" s="158">
        <f>SUM(H80:H82)</f>
        <v>0</v>
      </c>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9" ht="14.25" customHeight="1">
      <c r="A84" s="366" t="s">
        <v>29</v>
      </c>
      <c r="B84" s="359">
        <v>415</v>
      </c>
      <c r="C84" s="370" t="s">
        <v>36</v>
      </c>
      <c r="D84" s="262"/>
      <c r="E84" s="261"/>
      <c r="F84" s="396"/>
      <c r="G84" s="376"/>
      <c r="H84" s="152"/>
      <c r="I84" s="207"/>
    </row>
    <row r="85" spans="1:9" ht="39.75" customHeight="1">
      <c r="A85" s="367"/>
      <c r="B85" s="360"/>
      <c r="C85" s="370"/>
      <c r="D85" s="262">
        <v>4</v>
      </c>
      <c r="E85" s="307" t="s">
        <v>364</v>
      </c>
      <c r="F85" s="398"/>
      <c r="G85" s="377"/>
      <c r="H85" s="152"/>
      <c r="I85" s="207"/>
    </row>
    <row r="86" spans="1:114" s="245" customFormat="1" ht="22.5" customHeight="1">
      <c r="A86" s="229" t="s">
        <v>20</v>
      </c>
      <c r="B86" s="252">
        <f>SUM(B84:B84)</f>
        <v>415</v>
      </c>
      <c r="C86" s="370"/>
      <c r="D86" s="220">
        <f>D85+D84</f>
        <v>4</v>
      </c>
      <c r="E86" s="221"/>
      <c r="F86" s="160">
        <f>F84</f>
        <v>0</v>
      </c>
      <c r="G86" s="240"/>
      <c r="H86" s="250">
        <f>H84</f>
        <v>0</v>
      </c>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174.75" customHeight="1" hidden="1">
      <c r="A87" s="229" t="s">
        <v>20</v>
      </c>
      <c r="B87" s="238">
        <f>SUM(B84:B86)</f>
        <v>830</v>
      </c>
      <c r="C87" s="146"/>
      <c r="D87" s="221"/>
      <c r="E87" s="220"/>
      <c r="F87" s="159"/>
      <c r="G87" s="240"/>
      <c r="H87" s="158"/>
      <c r="I87" s="158"/>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16.5" customHeight="1" hidden="1">
      <c r="A88" s="263" t="s">
        <v>37</v>
      </c>
      <c r="B88" s="264">
        <v>10999</v>
      </c>
      <c r="C88" s="215" t="s">
        <v>52</v>
      </c>
      <c r="D88" s="221"/>
      <c r="E88" s="220"/>
      <c r="F88" s="159"/>
      <c r="G88" s="240"/>
      <c r="H88" s="158"/>
      <c r="I88" s="158"/>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9" ht="17.25" customHeight="1" hidden="1">
      <c r="A89" s="263" t="s">
        <v>37</v>
      </c>
      <c r="B89" s="264">
        <v>1219</v>
      </c>
      <c r="C89" s="215" t="s">
        <v>43</v>
      </c>
      <c r="D89" s="262"/>
      <c r="E89" s="220"/>
      <c r="F89" s="162"/>
      <c r="G89" s="230"/>
      <c r="H89" s="259"/>
      <c r="I89" s="207"/>
    </row>
    <row r="90" spans="1:114" s="245" customFormat="1" ht="16.5" customHeight="1" hidden="1">
      <c r="A90" s="229" t="s">
        <v>20</v>
      </c>
      <c r="B90" s="238">
        <f>SUM(B88:B89)</f>
        <v>12218</v>
      </c>
      <c r="C90" s="146"/>
      <c r="D90" s="221"/>
      <c r="E90" s="220"/>
      <c r="F90" s="159"/>
      <c r="G90" s="240"/>
      <c r="H90" s="158"/>
      <c r="I90" s="158"/>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row>
    <row r="91" spans="1:114" s="245" customFormat="1" ht="16.5" customHeight="1" hidden="1">
      <c r="A91" s="263" t="s">
        <v>30</v>
      </c>
      <c r="B91" s="261">
        <v>3133</v>
      </c>
      <c r="C91" s="215" t="s">
        <v>44</v>
      </c>
      <c r="D91" s="262"/>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18.75" customHeight="1" hidden="1">
      <c r="A92" s="263" t="s">
        <v>30</v>
      </c>
      <c r="B92" s="261">
        <v>120</v>
      </c>
      <c r="C92" s="215" t="s">
        <v>36</v>
      </c>
      <c r="D92" s="262"/>
      <c r="E92" s="220"/>
      <c r="F92" s="159"/>
      <c r="G92" s="240"/>
      <c r="H92" s="158"/>
      <c r="I92" s="158"/>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18.75" customHeight="1" hidden="1">
      <c r="A93" s="263" t="s">
        <v>30</v>
      </c>
      <c r="B93" s="261">
        <v>210</v>
      </c>
      <c r="C93" s="215" t="s">
        <v>36</v>
      </c>
      <c r="D93" s="262"/>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6.5" customHeight="1" hidden="1">
      <c r="A94" s="229" t="s">
        <v>20</v>
      </c>
      <c r="B94" s="220">
        <f>SUM(B91:B93)</f>
        <v>3463</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7.25" customHeight="1" hidden="1">
      <c r="A95" s="263" t="s">
        <v>31</v>
      </c>
      <c r="B95" s="265">
        <v>60</v>
      </c>
      <c r="C95" s="215" t="s">
        <v>48</v>
      </c>
      <c r="D95" s="265">
        <v>149639.87</v>
      </c>
      <c r="E95" s="289" t="s">
        <v>47</v>
      </c>
      <c r="F95" s="156"/>
      <c r="G95" s="240"/>
      <c r="H95" s="263"/>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7.25" customHeight="1" hidden="1">
      <c r="A96" s="263" t="s">
        <v>31</v>
      </c>
      <c r="B96" s="265">
        <v>3951.33</v>
      </c>
      <c r="C96" s="215" t="s">
        <v>51</v>
      </c>
      <c r="D96" s="265"/>
      <c r="E96" s="289"/>
      <c r="F96" s="156"/>
      <c r="G96" s="240"/>
      <c r="H96" s="263"/>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9" ht="15.75" customHeight="1">
      <c r="A97" s="366" t="s">
        <v>37</v>
      </c>
      <c r="B97" s="359">
        <f>13985+3626.7</f>
        <v>17611.7</v>
      </c>
      <c r="C97" s="361" t="s">
        <v>43</v>
      </c>
      <c r="D97" s="262"/>
      <c r="E97" s="261"/>
      <c r="F97" s="396"/>
      <c r="G97" s="376"/>
      <c r="H97" s="259"/>
      <c r="I97" s="207"/>
    </row>
    <row r="98" spans="1:9" ht="33" customHeight="1">
      <c r="A98" s="367"/>
      <c r="B98" s="360"/>
      <c r="C98" s="375"/>
      <c r="D98" s="262">
        <v>4</v>
      </c>
      <c r="E98" s="307" t="s">
        <v>364</v>
      </c>
      <c r="F98" s="398"/>
      <c r="G98" s="377"/>
      <c r="H98" s="162"/>
      <c r="I98" s="213"/>
    </row>
    <row r="99" spans="1:114" s="245" customFormat="1" ht="25.5" customHeight="1">
      <c r="A99" s="229" t="s">
        <v>20</v>
      </c>
      <c r="B99" s="252">
        <f>SUM(B97:B97)</f>
        <v>17611.7</v>
      </c>
      <c r="C99" s="362"/>
      <c r="D99" s="220">
        <f>SUM(D97:D98)</f>
        <v>4</v>
      </c>
      <c r="E99" s="221"/>
      <c r="F99" s="160">
        <f>F97</f>
        <v>0</v>
      </c>
      <c r="G99" s="240"/>
      <c r="H99" s="158">
        <f>SUM(H97:H98)</f>
        <v>0</v>
      </c>
      <c r="I99" s="231"/>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24.75" customHeight="1">
      <c r="A100" s="366" t="s">
        <v>30</v>
      </c>
      <c r="B100" s="359"/>
      <c r="C100" s="234"/>
      <c r="D100" s="287"/>
      <c r="E100" s="214"/>
      <c r="F100" s="396"/>
      <c r="G100" s="376"/>
      <c r="H100" s="259"/>
      <c r="I100" s="207"/>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9" ht="16.5" customHeight="1">
      <c r="A101" s="367"/>
      <c r="B101" s="360"/>
      <c r="C101" s="215"/>
      <c r="D101" s="262"/>
      <c r="E101" s="261"/>
      <c r="F101" s="398"/>
      <c r="G101" s="377"/>
      <c r="H101" s="262"/>
      <c r="I101" s="299"/>
    </row>
    <row r="102" spans="1:114" s="245" customFormat="1" ht="25.5" customHeight="1">
      <c r="A102" s="229" t="s">
        <v>20</v>
      </c>
      <c r="B102" s="238">
        <f>SUM(B100:B100)</f>
        <v>0</v>
      </c>
      <c r="C102" s="147"/>
      <c r="D102" s="220">
        <f>D101+D100</f>
        <v>0</v>
      </c>
      <c r="E102" s="221"/>
      <c r="F102" s="160">
        <f>F100</f>
        <v>0</v>
      </c>
      <c r="G102" s="240"/>
      <c r="H102" s="158">
        <f>SUM(H100:H101)</f>
        <v>0</v>
      </c>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27" customHeight="1">
      <c r="A103" s="366" t="s">
        <v>57</v>
      </c>
      <c r="B103" s="359"/>
      <c r="C103" s="409"/>
      <c r="D103" s="287"/>
      <c r="E103" s="214"/>
      <c r="F103" s="396"/>
      <c r="G103" s="376"/>
      <c r="H103" s="259"/>
      <c r="I103" s="207"/>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25.5" customHeight="1">
      <c r="A104" s="367"/>
      <c r="B104" s="360"/>
      <c r="C104" s="410"/>
      <c r="D104" s="262"/>
      <c r="E104" s="261"/>
      <c r="F104" s="398"/>
      <c r="G104" s="377"/>
      <c r="H104" s="259"/>
      <c r="I104" s="207"/>
    </row>
    <row r="105" spans="1:114" s="245" customFormat="1" ht="21" customHeight="1">
      <c r="A105" s="229" t="s">
        <v>20</v>
      </c>
      <c r="B105" s="238">
        <f>SUM(B103:B104)</f>
        <v>0</v>
      </c>
      <c r="C105" s="147"/>
      <c r="D105" s="220">
        <f>D104+D103</f>
        <v>0</v>
      </c>
      <c r="E105" s="221"/>
      <c r="F105" s="160">
        <f>F103</f>
        <v>0</v>
      </c>
      <c r="G105" s="240"/>
      <c r="H105" s="158">
        <f>SUM(H103:H104)</f>
        <v>0</v>
      </c>
      <c r="I105" s="231"/>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row>
    <row r="106" spans="1:114" s="245" customFormat="1" ht="0.75" customHeight="1" hidden="1">
      <c r="A106" s="365" t="s">
        <v>31</v>
      </c>
      <c r="B106" s="369">
        <f>110.7+9462.99</f>
        <v>9573.69</v>
      </c>
      <c r="C106" s="215"/>
      <c r="D106" s="261"/>
      <c r="E106" s="290"/>
      <c r="F106" s="396"/>
      <c r="G106" s="376"/>
      <c r="H106" s="158"/>
      <c r="I106" s="231"/>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114" s="245" customFormat="1" ht="33" customHeight="1">
      <c r="A107" s="365"/>
      <c r="B107" s="369"/>
      <c r="C107" s="366" t="s">
        <v>369</v>
      </c>
      <c r="D107" s="262">
        <v>4</v>
      </c>
      <c r="E107" s="307" t="s">
        <v>364</v>
      </c>
      <c r="F107" s="397"/>
      <c r="G107" s="386"/>
      <c r="H107" s="156"/>
      <c r="I107" s="213"/>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row>
    <row r="108" spans="1:9" ht="17.25" customHeight="1">
      <c r="A108" s="365"/>
      <c r="B108" s="369"/>
      <c r="C108" s="367"/>
      <c r="D108" s="261"/>
      <c r="E108" s="261"/>
      <c r="F108" s="398"/>
      <c r="G108" s="377"/>
      <c r="H108" s="156"/>
      <c r="I108" s="213"/>
    </row>
    <row r="109" spans="1:114" s="245" customFormat="1" ht="24" customHeight="1">
      <c r="A109" s="229" t="s">
        <v>20</v>
      </c>
      <c r="B109" s="252">
        <f>SUM(B106:B106)</f>
        <v>9573.69</v>
      </c>
      <c r="C109" s="215"/>
      <c r="D109" s="220">
        <f>D108+D106+D107</f>
        <v>4</v>
      </c>
      <c r="E109" s="262"/>
      <c r="F109" s="160">
        <f>F106</f>
        <v>0</v>
      </c>
      <c r="G109" s="240"/>
      <c r="H109" s="250">
        <f>SUM(H106:H108)</f>
        <v>0</v>
      </c>
      <c r="I109" s="231"/>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row>
    <row r="110" spans="1:114" s="245" customFormat="1" ht="26.25" customHeight="1">
      <c r="A110" s="365" t="s">
        <v>58</v>
      </c>
      <c r="B110" s="359"/>
      <c r="C110" s="361"/>
      <c r="D110" s="261"/>
      <c r="E110" s="262"/>
      <c r="F110" s="393"/>
      <c r="G110" s="376"/>
      <c r="H110" s="259"/>
      <c r="I110" s="207"/>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15.75" customHeight="1">
      <c r="A111" s="365"/>
      <c r="B111" s="360"/>
      <c r="C111" s="362"/>
      <c r="D111" s="287"/>
      <c r="E111" s="214"/>
      <c r="F111" s="395"/>
      <c r="G111" s="377"/>
      <c r="H111" s="263"/>
      <c r="I111" s="158"/>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9.5" customHeight="1">
      <c r="A112" s="229" t="s">
        <v>20</v>
      </c>
      <c r="B112" s="266">
        <f>B110</f>
        <v>0</v>
      </c>
      <c r="C112" s="146"/>
      <c r="D112" s="266">
        <f>SUM(D110:D111)</f>
        <v>0</v>
      </c>
      <c r="E112" s="220"/>
      <c r="F112" s="159">
        <f>F110</f>
        <v>0</v>
      </c>
      <c r="G112" s="240"/>
      <c r="H112" s="158">
        <f>SUM(H110:H111)</f>
        <v>0</v>
      </c>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114" s="245" customFormat="1" ht="22.5" customHeight="1">
      <c r="A113" s="366" t="s">
        <v>320</v>
      </c>
      <c r="B113" s="402"/>
      <c r="C113" s="218"/>
      <c r="D113" s="265"/>
      <c r="E113" s="262"/>
      <c r="F113" s="393"/>
      <c r="G113" s="376"/>
      <c r="H113" s="158"/>
      <c r="I113" s="158"/>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17.25" customHeight="1">
      <c r="A114" s="372"/>
      <c r="B114" s="403"/>
      <c r="C114" s="361"/>
      <c r="D114" s="291"/>
      <c r="E114" s="214"/>
      <c r="F114" s="394"/>
      <c r="G114" s="386"/>
      <c r="H114" s="263"/>
      <c r="I114" s="207"/>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14.25" customHeight="1">
      <c r="A115" s="372"/>
      <c r="B115" s="403"/>
      <c r="C115" s="362"/>
      <c r="D115" s="261"/>
      <c r="E115" s="276"/>
      <c r="F115" s="395"/>
      <c r="G115" s="377"/>
      <c r="H115" s="263"/>
      <c r="I115" s="158"/>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21" customHeight="1">
      <c r="A116" s="229" t="s">
        <v>20</v>
      </c>
      <c r="B116" s="266">
        <f>SUM(B113)</f>
        <v>0</v>
      </c>
      <c r="C116" s="146"/>
      <c r="D116" s="266">
        <f>SUM(D113:D115)</f>
        <v>0</v>
      </c>
      <c r="E116" s="220"/>
      <c r="F116" s="159">
        <f>F113</f>
        <v>0</v>
      </c>
      <c r="G116" s="240"/>
      <c r="H116" s="158">
        <f>SUM(H113:H115)</f>
        <v>0</v>
      </c>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22.5" customHeight="1">
      <c r="A117" s="365" t="s">
        <v>328</v>
      </c>
      <c r="B117" s="402"/>
      <c r="C117" s="215" t="s">
        <v>339</v>
      </c>
      <c r="D117" s="261">
        <v>2</v>
      </c>
      <c r="E117" s="411" t="s">
        <v>332</v>
      </c>
      <c r="F117" s="393"/>
      <c r="G117" s="376"/>
      <c r="H117" s="261"/>
      <c r="I117" s="299"/>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17.25" customHeight="1">
      <c r="A118" s="365"/>
      <c r="B118" s="404"/>
      <c r="C118" s="215"/>
      <c r="D118" s="287"/>
      <c r="E118" s="417"/>
      <c r="F118" s="395"/>
      <c r="G118" s="377"/>
      <c r="H118" s="158"/>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9.5" customHeight="1">
      <c r="A119" s="229" t="s">
        <v>20</v>
      </c>
      <c r="B119" s="220">
        <f>SUM(B117)</f>
        <v>0</v>
      </c>
      <c r="C119" s="146"/>
      <c r="D119" s="221">
        <f>SUM(D117:D118)</f>
        <v>2</v>
      </c>
      <c r="E119" s="412"/>
      <c r="F119" s="159">
        <f>F117</f>
        <v>0</v>
      </c>
      <c r="G119" s="240"/>
      <c r="H119" s="158">
        <f>SUM(H117:H118)</f>
        <v>0</v>
      </c>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21" customHeight="1">
      <c r="A120" s="366" t="s">
        <v>59</v>
      </c>
      <c r="B120" s="402"/>
      <c r="C120" s="218"/>
      <c r="D120" s="261"/>
      <c r="E120" s="292"/>
      <c r="F120" s="393"/>
      <c r="G120" s="376"/>
      <c r="H120" s="259"/>
      <c r="I120" s="207"/>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15" customHeight="1">
      <c r="A121" s="367"/>
      <c r="B121" s="404"/>
      <c r="C121" s="215"/>
      <c r="D121" s="287"/>
      <c r="E121" s="214"/>
      <c r="F121" s="395"/>
      <c r="G121" s="377"/>
      <c r="H121" s="158"/>
      <c r="I121" s="158"/>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19.5" customHeight="1">
      <c r="A122" s="229" t="s">
        <v>20</v>
      </c>
      <c r="B122" s="220">
        <f>B120</f>
        <v>0</v>
      </c>
      <c r="C122" s="146"/>
      <c r="D122" s="221">
        <f>D120+D121</f>
        <v>0</v>
      </c>
      <c r="E122" s="261"/>
      <c r="F122" s="159">
        <f>F120</f>
        <v>0</v>
      </c>
      <c r="G122" s="240"/>
      <c r="H122" s="158">
        <f>SUM(H120:H121)</f>
        <v>0</v>
      </c>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24" customHeight="1">
      <c r="A123" s="366" t="s">
        <v>323</v>
      </c>
      <c r="B123" s="402"/>
      <c r="C123" s="387"/>
      <c r="D123" s="262"/>
      <c r="E123" s="280"/>
      <c r="F123" s="393"/>
      <c r="G123" s="405"/>
      <c r="H123" s="259"/>
      <c r="I123" s="207"/>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16.5" customHeight="1">
      <c r="A124" s="367"/>
      <c r="B124" s="404"/>
      <c r="C124" s="389"/>
      <c r="D124" s="287"/>
      <c r="E124" s="214"/>
      <c r="F124" s="395"/>
      <c r="G124" s="406"/>
      <c r="H124" s="158"/>
      <c r="I124" s="158"/>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21.75" customHeight="1">
      <c r="A125" s="229" t="s">
        <v>20</v>
      </c>
      <c r="B125" s="220">
        <f>B123</f>
        <v>0</v>
      </c>
      <c r="C125" s="146"/>
      <c r="D125" s="221">
        <f>D124+D123</f>
        <v>0</v>
      </c>
      <c r="E125" s="261"/>
      <c r="F125" s="159">
        <f>F123</f>
        <v>0</v>
      </c>
      <c r="G125" s="240"/>
      <c r="H125" s="158">
        <f>SUM(H123:H124)</f>
        <v>0</v>
      </c>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8.75" customHeight="1">
      <c r="A126" s="366" t="s">
        <v>60</v>
      </c>
      <c r="B126" s="402"/>
      <c r="C126" s="219"/>
      <c r="D126" s="287"/>
      <c r="E126" s="214"/>
      <c r="F126" s="393"/>
      <c r="G126" s="376"/>
      <c r="H126" s="261"/>
      <c r="I126" s="299"/>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5.75">
      <c r="A127" s="367"/>
      <c r="B127" s="404"/>
      <c r="C127" s="215"/>
      <c r="D127" s="261"/>
      <c r="E127" s="261"/>
      <c r="F127" s="395"/>
      <c r="G127" s="377"/>
      <c r="H127" s="158"/>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20.25" customHeight="1">
      <c r="A128" s="229" t="s">
        <v>20</v>
      </c>
      <c r="B128" s="220">
        <f>SUM(B126)</f>
        <v>0</v>
      </c>
      <c r="C128" s="146"/>
      <c r="D128" s="221">
        <f>D127+D126</f>
        <v>0</v>
      </c>
      <c r="E128" s="261"/>
      <c r="F128" s="159">
        <f>F126</f>
        <v>0</v>
      </c>
      <c r="G128" s="240"/>
      <c r="H128" s="158">
        <f>SUM(H126:H127)</f>
        <v>0</v>
      </c>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0.25" customHeight="1">
      <c r="A129" s="366" t="s">
        <v>61</v>
      </c>
      <c r="B129" s="402"/>
      <c r="C129" s="387"/>
      <c r="D129" s="287"/>
      <c r="E129" s="214"/>
      <c r="F129" s="393"/>
      <c r="G129" s="376"/>
      <c r="H129" s="259"/>
      <c r="I129" s="207"/>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0.75" customHeight="1" hidden="1">
      <c r="A130" s="372"/>
      <c r="B130" s="403"/>
      <c r="C130" s="389"/>
      <c r="D130" s="293"/>
      <c r="E130" s="293"/>
      <c r="F130" s="394"/>
      <c r="G130" s="386"/>
      <c r="H130" s="158"/>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20.25" customHeight="1">
      <c r="A131" s="367"/>
      <c r="B131" s="404"/>
      <c r="C131" s="215"/>
      <c r="D131" s="261"/>
      <c r="E131" s="280"/>
      <c r="F131" s="395"/>
      <c r="G131" s="377"/>
      <c r="H131" s="158"/>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19.5" customHeight="1">
      <c r="A132" s="229" t="s">
        <v>20</v>
      </c>
      <c r="B132" s="220">
        <f>SUM(B129)</f>
        <v>0</v>
      </c>
      <c r="C132" s="146"/>
      <c r="D132" s="221">
        <f>SUM(D129:D131)</f>
        <v>0</v>
      </c>
      <c r="E132" s="261"/>
      <c r="F132" s="159">
        <f>F129</f>
        <v>0</v>
      </c>
      <c r="G132" s="240"/>
      <c r="H132" s="158">
        <f>SUM(H129:H131)</f>
        <v>0</v>
      </c>
      <c r="I132" s="158"/>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25.5" customHeight="1">
      <c r="A133" s="365" t="s">
        <v>62</v>
      </c>
      <c r="B133" s="408"/>
      <c r="C133" s="217"/>
      <c r="D133" s="287">
        <v>3629.28</v>
      </c>
      <c r="E133" s="411" t="s">
        <v>341</v>
      </c>
      <c r="F133" s="393"/>
      <c r="G133" s="376"/>
      <c r="H133" s="259"/>
      <c r="I133" s="207"/>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19.5" customHeight="1">
      <c r="A134" s="365"/>
      <c r="B134" s="408"/>
      <c r="C134" s="215"/>
      <c r="D134" s="261"/>
      <c r="E134" s="417"/>
      <c r="F134" s="395"/>
      <c r="G134" s="377"/>
      <c r="H134" s="158"/>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1" customHeight="1">
      <c r="A135" s="229" t="s">
        <v>20</v>
      </c>
      <c r="B135" s="220">
        <f>SUM(B133)</f>
        <v>0</v>
      </c>
      <c r="C135" s="146"/>
      <c r="D135" s="221">
        <f>SUM(D133:D134)</f>
        <v>3629.28</v>
      </c>
      <c r="E135" s="412"/>
      <c r="F135" s="159">
        <f>F133</f>
        <v>0</v>
      </c>
      <c r="G135" s="240"/>
      <c r="H135" s="158">
        <f>SUM(H133:H134)</f>
        <v>0</v>
      </c>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27.75" customHeight="1">
      <c r="A136" s="366" t="s">
        <v>46</v>
      </c>
      <c r="B136" s="402"/>
      <c r="C136" s="218"/>
      <c r="D136" s="261"/>
      <c r="E136" s="280"/>
      <c r="F136" s="393"/>
      <c r="G136" s="376"/>
      <c r="H136" s="259"/>
      <c r="I136" s="207"/>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8" customHeight="1">
      <c r="A137" s="367"/>
      <c r="B137" s="404"/>
      <c r="C137" s="302"/>
      <c r="D137" s="261"/>
      <c r="E137" s="262"/>
      <c r="F137" s="395"/>
      <c r="G137" s="377"/>
      <c r="H137" s="158"/>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8.75" customHeight="1">
      <c r="A138" s="229" t="s">
        <v>20</v>
      </c>
      <c r="B138" s="220">
        <f>B136</f>
        <v>0</v>
      </c>
      <c r="C138" s="146"/>
      <c r="D138" s="221">
        <f>D137+D136</f>
        <v>0</v>
      </c>
      <c r="E138" s="220"/>
      <c r="F138" s="159">
        <f>F136</f>
        <v>0</v>
      </c>
      <c r="G138" s="240"/>
      <c r="H138" s="158">
        <f>SUM(H136:H137)</f>
        <v>0</v>
      </c>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22.5" customHeight="1">
      <c r="A139" s="366" t="s">
        <v>63</v>
      </c>
      <c r="B139" s="402">
        <v>6799</v>
      </c>
      <c r="C139" s="215" t="s">
        <v>340</v>
      </c>
      <c r="D139" s="261">
        <v>1</v>
      </c>
      <c r="E139" s="411" t="s">
        <v>332</v>
      </c>
      <c r="F139" s="393"/>
      <c r="G139" s="376"/>
      <c r="H139" s="158"/>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18.75" customHeight="1">
      <c r="A140" s="367"/>
      <c r="B140" s="404"/>
      <c r="C140" s="215"/>
      <c r="D140" s="287"/>
      <c r="E140" s="417"/>
      <c r="F140" s="395"/>
      <c r="G140" s="377"/>
      <c r="H140" s="261"/>
      <c r="I140" s="301"/>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23.25" customHeight="1">
      <c r="A141" s="229" t="s">
        <v>20</v>
      </c>
      <c r="B141" s="220">
        <f>B139</f>
        <v>6799</v>
      </c>
      <c r="C141" s="146"/>
      <c r="D141" s="221">
        <f>D140+D139</f>
        <v>1</v>
      </c>
      <c r="E141" s="412"/>
      <c r="F141" s="159">
        <f>F139</f>
        <v>0</v>
      </c>
      <c r="G141" s="240"/>
      <c r="H141" s="158">
        <f>SUM(H139:H140)</f>
        <v>0</v>
      </c>
      <c r="I141" s="158"/>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24" customHeight="1">
      <c r="A142" s="228" t="s">
        <v>111</v>
      </c>
      <c r="B142" s="220"/>
      <c r="C142" s="146"/>
      <c r="D142" s="221"/>
      <c r="E142" s="220"/>
      <c r="F142" s="162"/>
      <c r="G142" s="240"/>
      <c r="H142" s="152"/>
      <c r="I142" s="207"/>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23.25" customHeight="1">
      <c r="A143" s="229" t="s">
        <v>20</v>
      </c>
      <c r="B143" s="220">
        <v>0</v>
      </c>
      <c r="C143" s="146"/>
      <c r="D143" s="221">
        <v>0</v>
      </c>
      <c r="E143" s="220"/>
      <c r="F143" s="159">
        <v>0</v>
      </c>
      <c r="G143" s="240"/>
      <c r="H143" s="250">
        <f>SUM(H142)</f>
        <v>0</v>
      </c>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1.75" customHeight="1">
      <c r="A144" s="157" t="s">
        <v>272</v>
      </c>
      <c r="B144" s="261"/>
      <c r="C144" s="215"/>
      <c r="D144" s="287"/>
      <c r="E144" s="214"/>
      <c r="F144" s="156"/>
      <c r="G144" s="240"/>
      <c r="H144" s="259"/>
      <c r="I144" s="207"/>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4.75" customHeight="1">
      <c r="A145" s="229" t="s">
        <v>20</v>
      </c>
      <c r="B145" s="220">
        <f>B144</f>
        <v>0</v>
      </c>
      <c r="C145" s="146"/>
      <c r="D145" s="221">
        <f>D144</f>
        <v>0</v>
      </c>
      <c r="E145" s="220"/>
      <c r="F145" s="159"/>
      <c r="G145" s="240"/>
      <c r="H145" s="158">
        <f>H144</f>
        <v>0</v>
      </c>
      <c r="I145" s="158"/>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72" customHeight="1">
      <c r="A146" s="157" t="s">
        <v>54</v>
      </c>
      <c r="B146" s="261"/>
      <c r="C146" s="215" t="s">
        <v>331</v>
      </c>
      <c r="D146" s="287">
        <v>1</v>
      </c>
      <c r="E146" s="214" t="s">
        <v>332</v>
      </c>
      <c r="F146" s="156"/>
      <c r="G146" s="240"/>
      <c r="H146" s="259"/>
      <c r="I146" s="207"/>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20.25" customHeight="1">
      <c r="A147" s="229" t="s">
        <v>20</v>
      </c>
      <c r="B147" s="220">
        <f>B146</f>
        <v>0</v>
      </c>
      <c r="C147" s="146"/>
      <c r="D147" s="221">
        <f>D146</f>
        <v>1</v>
      </c>
      <c r="E147" s="220"/>
      <c r="F147" s="159"/>
      <c r="G147" s="240"/>
      <c r="H147" s="158">
        <f>H146</f>
        <v>0</v>
      </c>
      <c r="I147" s="158"/>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30.75" customHeight="1">
      <c r="A148" s="157" t="s">
        <v>66</v>
      </c>
      <c r="B148" s="261"/>
      <c r="C148" s="215"/>
      <c r="D148" s="287"/>
      <c r="E148" s="214"/>
      <c r="F148" s="156"/>
      <c r="G148" s="240"/>
      <c r="H148" s="259"/>
      <c r="I148" s="207"/>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23.25" customHeight="1">
      <c r="A149" s="229" t="s">
        <v>20</v>
      </c>
      <c r="B149" s="220">
        <f>B148</f>
        <v>0</v>
      </c>
      <c r="C149" s="146"/>
      <c r="D149" s="221">
        <f>D148</f>
        <v>0</v>
      </c>
      <c r="E149" s="220"/>
      <c r="F149" s="159"/>
      <c r="G149" s="240"/>
      <c r="H149" s="158">
        <f>H148</f>
        <v>0</v>
      </c>
      <c r="I149" s="158"/>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36" customHeight="1">
      <c r="A150" s="228" t="s">
        <v>319</v>
      </c>
      <c r="B150" s="220"/>
      <c r="C150" s="146"/>
      <c r="D150" s="287"/>
      <c r="E150" s="214"/>
      <c r="F150" s="159"/>
      <c r="G150" s="240"/>
      <c r="H150" s="259"/>
      <c r="I150" s="207"/>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29.25" customHeight="1">
      <c r="A151" s="229" t="s">
        <v>20</v>
      </c>
      <c r="B151" s="220">
        <f>B150</f>
        <v>0</v>
      </c>
      <c r="C151" s="146"/>
      <c r="D151" s="221">
        <f>D150</f>
        <v>0</v>
      </c>
      <c r="E151" s="220"/>
      <c r="F151" s="159"/>
      <c r="G151" s="240"/>
      <c r="H151" s="158">
        <f>H150</f>
        <v>0</v>
      </c>
      <c r="I151" s="158"/>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84" customHeight="1">
      <c r="A152" s="157" t="s">
        <v>317</v>
      </c>
      <c r="B152" s="261"/>
      <c r="C152" s="215" t="s">
        <v>334</v>
      </c>
      <c r="D152" s="286">
        <v>1600</v>
      </c>
      <c r="E152" s="214" t="s">
        <v>333</v>
      </c>
      <c r="F152" s="156"/>
      <c r="G152" s="240"/>
      <c r="H152" s="259"/>
      <c r="I152" s="207"/>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24.75" customHeight="1">
      <c r="A153" s="229" t="s">
        <v>20</v>
      </c>
      <c r="B153" s="220">
        <f>SUM(B152)</f>
        <v>0</v>
      </c>
      <c r="C153" s="146"/>
      <c r="D153" s="221">
        <f>D152</f>
        <v>1600</v>
      </c>
      <c r="E153" s="220"/>
      <c r="F153" s="159"/>
      <c r="G153" s="240"/>
      <c r="H153" s="158">
        <f>H152</f>
        <v>0</v>
      </c>
      <c r="I153" s="158"/>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7.75" customHeight="1">
      <c r="A154" s="157" t="s">
        <v>64</v>
      </c>
      <c r="B154" s="261">
        <v>2496</v>
      </c>
      <c r="C154" s="215" t="s">
        <v>342</v>
      </c>
      <c r="D154" s="287"/>
      <c r="E154" s="214"/>
      <c r="F154" s="156"/>
      <c r="G154" s="240"/>
      <c r="H154" s="259"/>
      <c r="I154" s="207"/>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23.25" customHeight="1">
      <c r="A155" s="229" t="s">
        <v>20</v>
      </c>
      <c r="B155" s="220">
        <f>B154</f>
        <v>2496</v>
      </c>
      <c r="C155" s="146"/>
      <c r="D155" s="221">
        <f>D154</f>
        <v>0</v>
      </c>
      <c r="E155" s="220"/>
      <c r="F155" s="159"/>
      <c r="G155" s="240"/>
      <c r="H155" s="158">
        <f>H154</f>
        <v>0</v>
      </c>
      <c r="I155" s="158"/>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24" customHeight="1">
      <c r="A156" s="366" t="s">
        <v>315</v>
      </c>
      <c r="B156" s="402"/>
      <c r="C156" s="361"/>
      <c r="D156" s="287"/>
      <c r="E156" s="214"/>
      <c r="F156" s="156"/>
      <c r="G156" s="240"/>
      <c r="H156" s="259"/>
      <c r="I156" s="207"/>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19.5" customHeight="1">
      <c r="A157" s="372"/>
      <c r="B157" s="403"/>
      <c r="C157" s="375"/>
      <c r="D157" s="261"/>
      <c r="E157" s="276"/>
      <c r="F157" s="156"/>
      <c r="G157" s="240"/>
      <c r="H157" s="158"/>
      <c r="I157" s="158"/>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4" customHeight="1">
      <c r="A158" s="267" t="s">
        <v>20</v>
      </c>
      <c r="B158" s="220">
        <f>B156</f>
        <v>0</v>
      </c>
      <c r="C158" s="362"/>
      <c r="D158" s="220">
        <f>D156+D157</f>
        <v>0</v>
      </c>
      <c r="E158" s="289"/>
      <c r="F158" s="156"/>
      <c r="G158" s="240"/>
      <c r="H158" s="158">
        <f>H156+H157</f>
        <v>0</v>
      </c>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30" customHeight="1">
      <c r="A159" s="157" t="s">
        <v>318</v>
      </c>
      <c r="B159" s="261"/>
      <c r="C159" s="215"/>
      <c r="D159" s="286"/>
      <c r="E159" s="214"/>
      <c r="F159" s="156"/>
      <c r="G159" s="240"/>
      <c r="H159" s="152"/>
      <c r="I159" s="207"/>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24.75" customHeight="1" thickBot="1">
      <c r="A160" s="229" t="s">
        <v>20</v>
      </c>
      <c r="B160" s="238">
        <f>B159</f>
        <v>0</v>
      </c>
      <c r="C160" s="146"/>
      <c r="D160" s="294">
        <f>D159</f>
        <v>0</v>
      </c>
      <c r="E160" s="220"/>
      <c r="F160" s="159"/>
      <c r="G160" s="240"/>
      <c r="H160" s="250">
        <f>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69" customFormat="1" ht="60.75" customHeight="1" thickBot="1">
      <c r="A161" s="253" t="s">
        <v>324</v>
      </c>
      <c r="B161" s="220">
        <f>SUM(B151+B66+B69+B72+B76+B79+B83+B86+B99+B102+B105+B109+B112+B158+B116+B119+B122+B125+B128+B132+B135+B138+B141+B145+B147+B149+B153+B155+B160)</f>
        <v>36895.39</v>
      </c>
      <c r="C161" s="220"/>
      <c r="D161" s="220">
        <f>SUM(D151+D66+D69+D72+D76+D158+D79+D83+D86+D99+D102+D105+D109+D112+D116+D119+D122+D125+D128+D132+D135+D138+D141+D145+D147+D149+D153+D155+D160)</f>
        <v>5249.280000000001</v>
      </c>
      <c r="E161" s="220">
        <f>SUM(E151+E66+E69+E72+E76+E158+E79+E83+E86+E99+E102+E105+E109+E112+E116+E119+E122+E125+E128+E132+E135+E138+E141+E145+E147+E149+E153+E155+E160)</f>
        <v>0</v>
      </c>
      <c r="F161" s="220">
        <f>SUM(F151+F66+F69+F72+F76+F158+F79+F83+F86+F99+F102+F105+F109+F112+F116+F119+F122+F125+F128+F132+F135+F138+F141+F145+F147+F149+F153+F155+F160)</f>
        <v>0</v>
      </c>
      <c r="G161" s="220">
        <f>SUM(G151+G66+G69+G72+G76+G158+G79+G83+G86+G99+G102+G105+G109+G112+G116+G119+G122+G125+G128+G132+G135+G138+G141+G145+G147+G149+G153+G155+G160)</f>
        <v>0</v>
      </c>
      <c r="H161" s="220">
        <f>SUM(H151+H66+H69+H72+H76+H158+H79+H83+H86+H99+H102+H105+H109+H112+H116+H119+H122+H125+H128+H132+H135+H138+H141+H145+H147+H149+H153+H155+H160)+H143</f>
        <v>0</v>
      </c>
      <c r="I161" s="220">
        <f>SUM(I151+I66+I69+I72+I76+I158+I79+I83+I86+I99+I102+I105+I109+I112+I116+I119+I122+I125+I128+I132+I135+I138+I141+I145+I147+I149+I153+I155+I160)</f>
        <v>0</v>
      </c>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row>
    <row r="162" spans="1:114" s="269" customFormat="1" ht="79.5" customHeight="1" thickBot="1">
      <c r="A162" s="229" t="s">
        <v>325</v>
      </c>
      <c r="B162" s="221">
        <f>SUM(B63+B161)</f>
        <v>159942.60000000003</v>
      </c>
      <c r="C162" s="221"/>
      <c r="D162" s="221">
        <f aca="true" t="shared" si="0" ref="D162:I162">D161+D63</f>
        <v>5253.280000000001</v>
      </c>
      <c r="E162" s="221">
        <f t="shared" si="0"/>
        <v>0</v>
      </c>
      <c r="F162" s="221">
        <f t="shared" si="0"/>
        <v>0</v>
      </c>
      <c r="G162" s="221">
        <f t="shared" si="0"/>
        <v>0</v>
      </c>
      <c r="H162" s="221">
        <f t="shared" si="0"/>
        <v>0</v>
      </c>
      <c r="I162" s="221">
        <f t="shared" si="0"/>
        <v>0</v>
      </c>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row>
    <row r="163" spans="1:114" s="272" customFormat="1" ht="9.75" customHeight="1" hidden="1">
      <c r="A163" s="222"/>
      <c r="B163" s="270"/>
      <c r="C163" s="222"/>
      <c r="D163" s="295"/>
      <c r="E163" s="273"/>
      <c r="F163" s="271"/>
      <c r="G163" s="271"/>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row>
    <row r="164" spans="1:114" s="272" customFormat="1" ht="33" customHeight="1">
      <c r="A164" s="223" t="s">
        <v>326</v>
      </c>
      <c r="B164" s="273"/>
      <c r="C164" s="223"/>
      <c r="D164" s="295"/>
      <c r="E164" s="273" t="s">
        <v>34</v>
      </c>
      <c r="F164" s="271"/>
      <c r="G164" s="223" t="s">
        <v>343</v>
      </c>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row>
    <row r="165" spans="1:9" ht="20.25" customHeight="1">
      <c r="A165" s="222" t="s">
        <v>35</v>
      </c>
      <c r="B165" s="270"/>
      <c r="C165" s="224"/>
      <c r="D165" s="296"/>
      <c r="E165" s="300"/>
      <c r="F165" s="222"/>
      <c r="G165" s="222" t="s">
        <v>344</v>
      </c>
      <c r="H165" s="182"/>
      <c r="I165" s="182"/>
    </row>
    <row r="166" spans="1:10" ht="20.25" customHeight="1">
      <c r="A166" s="224" t="s">
        <v>345</v>
      </c>
      <c r="B166" s="224"/>
      <c r="C166" s="224"/>
      <c r="D166" s="295"/>
      <c r="E166" s="298"/>
      <c r="F166" s="274"/>
      <c r="G166" s="274"/>
      <c r="H166" s="182"/>
      <c r="I166" s="246"/>
      <c r="J166" s="182" t="s">
        <v>327</v>
      </c>
    </row>
    <row r="167" spans="1:9" ht="20.25" customHeight="1">
      <c r="A167" s="224" t="s">
        <v>346</v>
      </c>
      <c r="B167" s="224"/>
      <c r="C167" s="224"/>
      <c r="D167" s="295"/>
      <c r="E167" s="298"/>
      <c r="F167" s="274"/>
      <c r="G167" s="274"/>
      <c r="H167" s="182"/>
      <c r="I167" s="182"/>
    </row>
    <row r="168" spans="1:9" ht="12" customHeight="1">
      <c r="A168" s="182"/>
      <c r="B168" s="225"/>
      <c r="C168" s="225"/>
      <c r="D168" s="297"/>
      <c r="E168" s="225"/>
      <c r="F168" s="182"/>
      <c r="G168" s="182"/>
      <c r="H168" s="182"/>
      <c r="I168" s="182"/>
    </row>
    <row r="169" spans="1:9" ht="15.75">
      <c r="A169" s="182"/>
      <c r="B169" s="225"/>
      <c r="C169" s="225"/>
      <c r="D169" s="297"/>
      <c r="E169" s="225"/>
      <c r="F169" s="182"/>
      <c r="G169" s="182"/>
      <c r="H169" s="182"/>
      <c r="I169" s="182"/>
    </row>
    <row r="170" spans="1:9" ht="15.75">
      <c r="A170" s="182"/>
      <c r="B170" s="225"/>
      <c r="C170" s="225"/>
      <c r="D170" s="297"/>
      <c r="E170" s="225"/>
      <c r="F170" s="182"/>
      <c r="G170" s="182"/>
      <c r="H170" s="182"/>
      <c r="I170" s="182"/>
    </row>
  </sheetData>
  <sheetProtection/>
  <mergeCells count="165">
    <mergeCell ref="A139:A140"/>
    <mergeCell ref="B139:B140"/>
    <mergeCell ref="E139:E141"/>
    <mergeCell ref="F139:F140"/>
    <mergeCell ref="G139:G140"/>
    <mergeCell ref="A156:A157"/>
    <mergeCell ref="B156:B157"/>
    <mergeCell ref="C156:C158"/>
    <mergeCell ref="A133:A134"/>
    <mergeCell ref="B133:B134"/>
    <mergeCell ref="E133:E135"/>
    <mergeCell ref="F133:F134"/>
    <mergeCell ref="G133:G134"/>
    <mergeCell ref="A136:A137"/>
    <mergeCell ref="B136:B137"/>
    <mergeCell ref="F136:F137"/>
    <mergeCell ref="G136:G137"/>
    <mergeCell ref="A126:A127"/>
    <mergeCell ref="B126:B127"/>
    <mergeCell ref="F126:F127"/>
    <mergeCell ref="G126:G127"/>
    <mergeCell ref="A129:A131"/>
    <mergeCell ref="B129:B131"/>
    <mergeCell ref="C129:C130"/>
    <mergeCell ref="F129:F131"/>
    <mergeCell ref="G129:G131"/>
    <mergeCell ref="A120:A121"/>
    <mergeCell ref="B120:B121"/>
    <mergeCell ref="F120:F121"/>
    <mergeCell ref="G120:G121"/>
    <mergeCell ref="A123:A124"/>
    <mergeCell ref="B123:B124"/>
    <mergeCell ref="C123:C124"/>
    <mergeCell ref="F123:F124"/>
    <mergeCell ref="G123:G124"/>
    <mergeCell ref="A113:A115"/>
    <mergeCell ref="B113:B115"/>
    <mergeCell ref="F113:F115"/>
    <mergeCell ref="G113:G115"/>
    <mergeCell ref="C114:C115"/>
    <mergeCell ref="A117:A118"/>
    <mergeCell ref="B117:B118"/>
    <mergeCell ref="E117:E119"/>
    <mergeCell ref="F117:F118"/>
    <mergeCell ref="G117:G118"/>
    <mergeCell ref="A106:A108"/>
    <mergeCell ref="B106:B108"/>
    <mergeCell ref="F106:F108"/>
    <mergeCell ref="G106:G108"/>
    <mergeCell ref="C107:C108"/>
    <mergeCell ref="A110:A111"/>
    <mergeCell ref="B110:B111"/>
    <mergeCell ref="C110:C111"/>
    <mergeCell ref="F110:F111"/>
    <mergeCell ref="G110:G111"/>
    <mergeCell ref="A100:A101"/>
    <mergeCell ref="B100:B101"/>
    <mergeCell ref="F100:F101"/>
    <mergeCell ref="G100:G101"/>
    <mergeCell ref="A103:A104"/>
    <mergeCell ref="B103:B104"/>
    <mergeCell ref="C103:C104"/>
    <mergeCell ref="F103:F104"/>
    <mergeCell ref="G103:G104"/>
    <mergeCell ref="A84:A85"/>
    <mergeCell ref="B84:B85"/>
    <mergeCell ref="C84:C86"/>
    <mergeCell ref="F84:F85"/>
    <mergeCell ref="G84:G85"/>
    <mergeCell ref="A97:A98"/>
    <mergeCell ref="B97:B98"/>
    <mergeCell ref="C97:C99"/>
    <mergeCell ref="F97:F98"/>
    <mergeCell ref="G97:G98"/>
    <mergeCell ref="A77:A78"/>
    <mergeCell ref="B77:B78"/>
    <mergeCell ref="C77:C78"/>
    <mergeCell ref="F77:F78"/>
    <mergeCell ref="G77:G78"/>
    <mergeCell ref="A80:A82"/>
    <mergeCell ref="B80:B82"/>
    <mergeCell ref="C80:C81"/>
    <mergeCell ref="F80:F82"/>
    <mergeCell ref="G80:G82"/>
    <mergeCell ref="A70:A71"/>
    <mergeCell ref="B70:B71"/>
    <mergeCell ref="C70:C71"/>
    <mergeCell ref="F70:F71"/>
    <mergeCell ref="G70:G71"/>
    <mergeCell ref="A73:A75"/>
    <mergeCell ref="B73:B75"/>
    <mergeCell ref="F73:F75"/>
    <mergeCell ref="G73:G75"/>
    <mergeCell ref="C74:C75"/>
    <mergeCell ref="A64:A65"/>
    <mergeCell ref="B64:B65"/>
    <mergeCell ref="C64:C66"/>
    <mergeCell ref="A67:A68"/>
    <mergeCell ref="B67:B68"/>
    <mergeCell ref="C67:C69"/>
    <mergeCell ref="A57:A58"/>
    <mergeCell ref="B57:B58"/>
    <mergeCell ref="C57:C58"/>
    <mergeCell ref="A60:A61"/>
    <mergeCell ref="B60:B61"/>
    <mergeCell ref="C60:C61"/>
    <mergeCell ref="A51:A52"/>
    <mergeCell ref="B51:B52"/>
    <mergeCell ref="C51:C52"/>
    <mergeCell ref="A54:A55"/>
    <mergeCell ref="B54:B55"/>
    <mergeCell ref="C54:C56"/>
    <mergeCell ref="A45:A46"/>
    <mergeCell ref="B45:B46"/>
    <mergeCell ref="C45:C46"/>
    <mergeCell ref="A48:A49"/>
    <mergeCell ref="B48:B49"/>
    <mergeCell ref="C48:C49"/>
    <mergeCell ref="A39:A40"/>
    <mergeCell ref="B39:B40"/>
    <mergeCell ref="C39:C40"/>
    <mergeCell ref="A42:A43"/>
    <mergeCell ref="B42:B43"/>
    <mergeCell ref="C42:C44"/>
    <mergeCell ref="A33:A34"/>
    <mergeCell ref="B33:B34"/>
    <mergeCell ref="C33:C34"/>
    <mergeCell ref="A36:A37"/>
    <mergeCell ref="B36:B37"/>
    <mergeCell ref="C36:C38"/>
    <mergeCell ref="G26:G27"/>
    <mergeCell ref="H26:H27"/>
    <mergeCell ref="I26:I27"/>
    <mergeCell ref="A30:A31"/>
    <mergeCell ref="B30:B31"/>
    <mergeCell ref="C30:C31"/>
    <mergeCell ref="A26:A28"/>
    <mergeCell ref="B26:B28"/>
    <mergeCell ref="C26:C28"/>
    <mergeCell ref="D26:D27"/>
    <mergeCell ref="E26:E27"/>
    <mergeCell ref="F26:F27"/>
    <mergeCell ref="A20:A21"/>
    <mergeCell ref="B20:B21"/>
    <mergeCell ref="C20:C21"/>
    <mergeCell ref="A23:A24"/>
    <mergeCell ref="B23:B24"/>
    <mergeCell ref="C23:C24"/>
    <mergeCell ref="H9:I10"/>
    <mergeCell ref="A12:A13"/>
    <mergeCell ref="B12:B13"/>
    <mergeCell ref="C12:C13"/>
    <mergeCell ref="A15:A16"/>
    <mergeCell ref="B15:B16"/>
    <mergeCell ref="C15:C16"/>
    <mergeCell ref="G4:I4"/>
    <mergeCell ref="A5:I5"/>
    <mergeCell ref="A6:I6"/>
    <mergeCell ref="A7:I7"/>
    <mergeCell ref="A8:A11"/>
    <mergeCell ref="B8:E8"/>
    <mergeCell ref="F8:I8"/>
    <mergeCell ref="B9:C10"/>
    <mergeCell ref="D9:E10"/>
    <mergeCell ref="F9:G10"/>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DJ170"/>
  <sheetViews>
    <sheetView zoomScalePageLayoutView="0" workbookViewId="0" topLeftCell="A146">
      <selection activeCell="A146" sqref="A1:IV16384"/>
    </sheetView>
  </sheetViews>
  <sheetFormatPr defaultColWidth="25.7109375" defaultRowHeight="15"/>
  <cols>
    <col min="1" max="1" width="14.28125" style="4" customWidth="1"/>
    <col min="2" max="2" width="13.7109375" style="226" customWidth="1"/>
    <col min="3" max="3" width="38.28125" style="226" customWidth="1"/>
    <col min="4" max="4" width="11.421875" style="275" customWidth="1"/>
    <col min="5" max="5" width="19.00390625" style="226" customWidth="1"/>
    <col min="6" max="6" width="10.8515625" style="4" customWidth="1"/>
    <col min="7" max="7" width="8.8515625" style="4" customWidth="1"/>
    <col min="8" max="8" width="9.28125" style="4" customWidth="1"/>
    <col min="9" max="9" width="14.85156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365</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24</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27.75" customHeight="1">
      <c r="A15" s="366" t="s">
        <v>7</v>
      </c>
      <c r="B15" s="359">
        <f>776.6+847.8+13872</f>
        <v>15496.4</v>
      </c>
      <c r="C15" s="361" t="s">
        <v>356</v>
      </c>
      <c r="D15" s="214"/>
      <c r="E15" s="276"/>
      <c r="F15" s="236"/>
      <c r="G15" s="230"/>
      <c r="H15" s="228"/>
      <c r="I15" s="213"/>
      <c r="J15" s="235"/>
      <c r="K15" s="246"/>
    </row>
    <row r="16" spans="1:11" ht="13.5" customHeight="1">
      <c r="A16" s="367"/>
      <c r="B16" s="360"/>
      <c r="C16" s="362"/>
      <c r="D16" s="214"/>
      <c r="E16" s="261"/>
      <c r="F16" s="236"/>
      <c r="G16" s="230"/>
      <c r="H16" s="228"/>
      <c r="I16" s="228"/>
      <c r="J16" s="235"/>
      <c r="K16" s="246"/>
    </row>
    <row r="17" spans="1:114" s="245" customFormat="1" ht="22.5" customHeight="1">
      <c r="A17" s="229" t="s">
        <v>19</v>
      </c>
      <c r="B17" s="238">
        <f>SUM(B15)</f>
        <v>15496.4</v>
      </c>
      <c r="C17" s="215"/>
      <c r="D17" s="279">
        <f>D16+D15</f>
        <v>0</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05" t="s">
        <v>32</v>
      </c>
      <c r="B18" s="306">
        <v>670</v>
      </c>
      <c r="C18" s="215" t="s">
        <v>353</v>
      </c>
      <c r="D18" s="214"/>
      <c r="E18" s="276"/>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229" t="s">
        <v>19</v>
      </c>
      <c r="B19" s="238">
        <f>SUM(B18)</f>
        <v>670</v>
      </c>
      <c r="C19" s="303"/>
      <c r="D19" s="279">
        <f>D18</f>
        <v>0</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20.25" customHeight="1">
      <c r="A20" s="366" t="s">
        <v>55</v>
      </c>
      <c r="B20" s="359">
        <f>537+3249.47</f>
        <v>3786.47</v>
      </c>
      <c r="C20" s="361" t="s">
        <v>363</v>
      </c>
      <c r="D20" s="214"/>
      <c r="E20" s="276"/>
      <c r="F20" s="236"/>
      <c r="G20" s="230"/>
      <c r="H20" s="228"/>
      <c r="I20" s="213"/>
      <c r="J20" s="235"/>
      <c r="K20" s="246"/>
    </row>
    <row r="21" spans="1:11" ht="26.25" customHeight="1">
      <c r="A21" s="367"/>
      <c r="B21" s="360"/>
      <c r="C21" s="416"/>
      <c r="D21" s="249"/>
      <c r="E21" s="261"/>
      <c r="F21" s="236"/>
      <c r="G21" s="230"/>
      <c r="H21" s="228"/>
      <c r="I21" s="228"/>
      <c r="J21" s="235"/>
      <c r="K21" s="246"/>
    </row>
    <row r="22" spans="1:114" s="245" customFormat="1" ht="28.5" customHeight="1">
      <c r="A22" s="229" t="s">
        <v>20</v>
      </c>
      <c r="B22" s="238">
        <f>B20</f>
        <v>3786.47</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47.25" customHeight="1">
      <c r="A23" s="366" t="s">
        <v>8</v>
      </c>
      <c r="B23" s="359">
        <v>2940</v>
      </c>
      <c r="C23" s="361" t="s">
        <v>335</v>
      </c>
      <c r="D23" s="214"/>
      <c r="E23" s="276"/>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18" customHeight="1">
      <c r="A26" s="366" t="s">
        <v>9</v>
      </c>
      <c r="B26" s="359">
        <v>697</v>
      </c>
      <c r="C26" s="361" t="s">
        <v>352</v>
      </c>
      <c r="D26" s="357"/>
      <c r="E26" s="357"/>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357"/>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0</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10</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42.75" customHeight="1">
      <c r="A33" s="365" t="s">
        <v>11</v>
      </c>
      <c r="B33" s="369">
        <f>24050+1000</f>
        <v>25050</v>
      </c>
      <c r="C33" s="370" t="s">
        <v>357</v>
      </c>
      <c r="D33" s="214"/>
      <c r="E33" s="214"/>
      <c r="F33" s="251"/>
      <c r="G33" s="230"/>
      <c r="H33" s="207"/>
      <c r="I33" s="207"/>
      <c r="J33" s="235"/>
    </row>
    <row r="34" spans="1:10" ht="24.75" customHeight="1">
      <c r="A34" s="365"/>
      <c r="B34" s="369"/>
      <c r="C34" s="370"/>
      <c r="D34" s="214"/>
      <c r="E34" s="261"/>
      <c r="F34" s="251"/>
      <c r="G34" s="230"/>
      <c r="H34" s="207"/>
      <c r="I34" s="207"/>
      <c r="J34" s="235"/>
    </row>
    <row r="35" spans="1:114" s="245" customFormat="1" ht="27.75" customHeight="1">
      <c r="A35" s="229" t="s">
        <v>20</v>
      </c>
      <c r="B35" s="238">
        <f>SUM(B33:B34)</f>
        <v>25050</v>
      </c>
      <c r="C35" s="146"/>
      <c r="D35" s="285">
        <f>D34+D33</f>
        <v>0</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0.25" customHeight="1">
      <c r="A36" s="365" t="s">
        <v>49</v>
      </c>
      <c r="B36" s="369">
        <f>179.8+747</f>
        <v>926.8</v>
      </c>
      <c r="C36" s="361" t="s">
        <v>358</v>
      </c>
      <c r="D36" s="214"/>
      <c r="E36" s="214"/>
      <c r="F36" s="251"/>
      <c r="G36" s="230"/>
      <c r="H36" s="207"/>
      <c r="I36" s="207"/>
      <c r="J36" s="235"/>
    </row>
    <row r="37" spans="1:10" ht="12" customHeight="1">
      <c r="A37" s="365"/>
      <c r="B37" s="369"/>
      <c r="C37" s="375"/>
      <c r="D37" s="262"/>
      <c r="E37" s="261"/>
      <c r="F37" s="251"/>
      <c r="G37" s="230"/>
      <c r="H37" s="207"/>
      <c r="I37" s="207"/>
      <c r="J37" s="235"/>
    </row>
    <row r="38" spans="1:114" s="245" customFormat="1" ht="36" customHeight="1">
      <c r="A38" s="229" t="s">
        <v>20</v>
      </c>
      <c r="B38" s="238">
        <f>SUM(B36:B37)</f>
        <v>926.8</v>
      </c>
      <c r="C38" s="362"/>
      <c r="D38" s="221">
        <f>D37+D36</f>
        <v>0</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63"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f>
        <v>1432</v>
      </c>
      <c r="C42" s="361" t="s">
        <v>354</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1432</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361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23.25" customHeight="1">
      <c r="A46" s="367"/>
      <c r="B46" s="360"/>
      <c r="C46" s="362"/>
      <c r="D46" s="214"/>
      <c r="E46" s="214"/>
      <c r="F46" s="152"/>
      <c r="G46" s="230"/>
      <c r="H46" s="207"/>
      <c r="I46" s="207"/>
      <c r="J46" s="235"/>
    </row>
    <row r="47" spans="1:114" s="245" customFormat="1" ht="31.5" customHeight="1">
      <c r="A47" s="229" t="s">
        <v>20</v>
      </c>
      <c r="B47" s="238">
        <f>SUM(B45)</f>
        <v>1330</v>
      </c>
      <c r="C47" s="215"/>
      <c r="D47" s="220">
        <f>D46+D45</f>
        <v>4</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118945.21000000002</v>
      </c>
      <c r="C63" s="147"/>
      <c r="D63" s="254">
        <f>D62+D59+D56+D53+D50+D47+D44+D41+D38+D35+D32+D29+D25+D22+D19+D17+D14</f>
        <v>4</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c r="C64" s="361"/>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c r="C67" s="361"/>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35.25" customHeight="1">
      <c r="A70" s="365" t="s">
        <v>329</v>
      </c>
      <c r="B70" s="369"/>
      <c r="C70" s="387"/>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24" customHeight="1">
      <c r="A71" s="365"/>
      <c r="B71" s="369"/>
      <c r="C71" s="389"/>
      <c r="D71" s="261"/>
      <c r="E71" s="276"/>
      <c r="F71" s="385"/>
      <c r="G71" s="377"/>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229" t="s">
        <v>20</v>
      </c>
      <c r="B72" s="238">
        <f>B70</f>
        <v>0</v>
      </c>
      <c r="C72" s="146"/>
      <c r="D72" s="220">
        <f>SUM(D70:D71)</f>
        <v>4</v>
      </c>
      <c r="E72" s="221"/>
      <c r="F72" s="250">
        <f>F70</f>
        <v>0</v>
      </c>
      <c r="G72" s="240"/>
      <c r="H72" s="159">
        <f>SUM(H70:H71)</f>
        <v>0</v>
      </c>
      <c r="I72" s="231"/>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4" customHeight="1">
      <c r="A73" s="366" t="s">
        <v>38</v>
      </c>
      <c r="B73" s="359"/>
      <c r="C73" s="233"/>
      <c r="D73" s="214"/>
      <c r="E73" s="214"/>
      <c r="F73" s="383"/>
      <c r="G73" s="376"/>
      <c r="H73" s="159"/>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1.75" customHeight="1">
      <c r="A74" s="372"/>
      <c r="B74" s="373"/>
      <c r="C74" s="418"/>
      <c r="D74" s="261"/>
      <c r="E74" s="276"/>
      <c r="F74" s="384"/>
      <c r="G74" s="386"/>
      <c r="H74" s="207"/>
      <c r="I74" s="207"/>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9" ht="2.25" customHeight="1" hidden="1">
      <c r="A75" s="367"/>
      <c r="B75" s="360"/>
      <c r="C75" s="419"/>
      <c r="D75" s="261"/>
      <c r="E75" s="287"/>
      <c r="F75" s="385"/>
      <c r="G75" s="377"/>
      <c r="H75" s="259"/>
      <c r="I75" s="207"/>
    </row>
    <row r="76" spans="1:114" s="245" customFormat="1" ht="19.5" customHeight="1">
      <c r="A76" s="229" t="s">
        <v>20</v>
      </c>
      <c r="B76" s="238">
        <f>SUM(B73:B73)</f>
        <v>0</v>
      </c>
      <c r="C76" s="146"/>
      <c r="D76" s="220">
        <f>SUM(D73:D75)</f>
        <v>0</v>
      </c>
      <c r="E76" s="288"/>
      <c r="F76" s="250">
        <f>F73</f>
        <v>0</v>
      </c>
      <c r="G76" s="240"/>
      <c r="H76" s="158">
        <f>SUM(H74:H75)</f>
        <v>0</v>
      </c>
      <c r="I76" s="231"/>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4" customHeight="1">
      <c r="A77" s="366" t="s">
        <v>322</v>
      </c>
      <c r="B77" s="359"/>
      <c r="C77" s="387"/>
      <c r="D77" s="287"/>
      <c r="E77" s="214"/>
      <c r="F77" s="383"/>
      <c r="G77" s="376"/>
      <c r="H77" s="158"/>
      <c r="I77" s="231"/>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1.75" customHeight="1">
      <c r="A78" s="367"/>
      <c r="B78" s="360"/>
      <c r="C78" s="389"/>
      <c r="D78" s="261"/>
      <c r="E78" s="287"/>
      <c r="F78" s="385"/>
      <c r="G78" s="377"/>
      <c r="H78" s="260"/>
      <c r="I78" s="260"/>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6.25" customHeight="1">
      <c r="A79" s="229" t="s">
        <v>20</v>
      </c>
      <c r="B79" s="238">
        <f>SUM(B77:B78)</f>
        <v>0</v>
      </c>
      <c r="C79" s="147"/>
      <c r="D79" s="221">
        <f>SUM(D77:D78)</f>
        <v>0</v>
      </c>
      <c r="E79" s="221"/>
      <c r="F79" s="160">
        <f>F77</f>
        <v>0</v>
      </c>
      <c r="G79" s="240"/>
      <c r="H79" s="158">
        <f>SUM(H77:H78)</f>
        <v>0</v>
      </c>
      <c r="I79" s="231"/>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19.5" customHeight="1">
      <c r="A80" s="366" t="s">
        <v>321</v>
      </c>
      <c r="B80" s="390"/>
      <c r="C80" s="409"/>
      <c r="D80" s="287"/>
      <c r="E80" s="214"/>
      <c r="F80" s="393"/>
      <c r="G80" s="376"/>
      <c r="H80" s="259"/>
      <c r="I80" s="207"/>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17.25" customHeight="1">
      <c r="A81" s="372"/>
      <c r="B81" s="391"/>
      <c r="C81" s="410"/>
      <c r="D81" s="262"/>
      <c r="E81" s="276"/>
      <c r="F81" s="394"/>
      <c r="G81" s="386"/>
      <c r="H81" s="259"/>
      <c r="I81" s="207"/>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6.5" customHeight="1">
      <c r="A82" s="367"/>
      <c r="B82" s="392"/>
      <c r="C82" s="215"/>
      <c r="D82" s="261"/>
      <c r="E82" s="262"/>
      <c r="F82" s="395"/>
      <c r="G82" s="377"/>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4" customHeight="1">
      <c r="A83" s="229" t="s">
        <v>20</v>
      </c>
      <c r="B83" s="238">
        <f>SUM(B80:B82)</f>
        <v>0</v>
      </c>
      <c r="C83" s="147"/>
      <c r="D83" s="220">
        <f>D82+D80+D81</f>
        <v>0</v>
      </c>
      <c r="E83" s="221"/>
      <c r="F83" s="160">
        <f>F80</f>
        <v>0</v>
      </c>
      <c r="G83" s="240"/>
      <c r="H83" s="158">
        <f>SUM(H80:H82)</f>
        <v>0</v>
      </c>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9" ht="14.25" customHeight="1">
      <c r="A84" s="366" t="s">
        <v>29</v>
      </c>
      <c r="B84" s="359">
        <v>415</v>
      </c>
      <c r="C84" s="370" t="s">
        <v>36</v>
      </c>
      <c r="D84" s="262"/>
      <c r="E84" s="261"/>
      <c r="F84" s="396"/>
      <c r="G84" s="376"/>
      <c r="H84" s="152"/>
      <c r="I84" s="207"/>
    </row>
    <row r="85" spans="1:9" ht="39.75" customHeight="1">
      <c r="A85" s="367"/>
      <c r="B85" s="360"/>
      <c r="C85" s="370"/>
      <c r="D85" s="262">
        <v>4</v>
      </c>
      <c r="E85" s="307" t="s">
        <v>364</v>
      </c>
      <c r="F85" s="398"/>
      <c r="G85" s="377"/>
      <c r="H85" s="152"/>
      <c r="I85" s="207"/>
    </row>
    <row r="86" spans="1:114" s="245" customFormat="1" ht="22.5" customHeight="1">
      <c r="A86" s="229" t="s">
        <v>20</v>
      </c>
      <c r="B86" s="252">
        <f>SUM(B84:B84)</f>
        <v>415</v>
      </c>
      <c r="C86" s="370"/>
      <c r="D86" s="220">
        <f>D85+D84</f>
        <v>4</v>
      </c>
      <c r="E86" s="221"/>
      <c r="F86" s="160">
        <f>F84</f>
        <v>0</v>
      </c>
      <c r="G86" s="240"/>
      <c r="H86" s="250">
        <f>H84</f>
        <v>0</v>
      </c>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174.75" customHeight="1" hidden="1">
      <c r="A87" s="229" t="s">
        <v>20</v>
      </c>
      <c r="B87" s="238">
        <f>SUM(B84:B86)</f>
        <v>830</v>
      </c>
      <c r="C87" s="146"/>
      <c r="D87" s="221"/>
      <c r="E87" s="220"/>
      <c r="F87" s="159"/>
      <c r="G87" s="240"/>
      <c r="H87" s="158"/>
      <c r="I87" s="158"/>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16.5" customHeight="1" hidden="1">
      <c r="A88" s="263" t="s">
        <v>37</v>
      </c>
      <c r="B88" s="264">
        <v>10999</v>
      </c>
      <c r="C88" s="215" t="s">
        <v>52</v>
      </c>
      <c r="D88" s="221"/>
      <c r="E88" s="220"/>
      <c r="F88" s="159"/>
      <c r="G88" s="240"/>
      <c r="H88" s="158"/>
      <c r="I88" s="158"/>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9" ht="17.25" customHeight="1" hidden="1">
      <c r="A89" s="263" t="s">
        <v>37</v>
      </c>
      <c r="B89" s="264">
        <v>1219</v>
      </c>
      <c r="C89" s="215" t="s">
        <v>43</v>
      </c>
      <c r="D89" s="262"/>
      <c r="E89" s="220"/>
      <c r="F89" s="162"/>
      <c r="G89" s="230"/>
      <c r="H89" s="259"/>
      <c r="I89" s="207"/>
    </row>
    <row r="90" spans="1:114" s="245" customFormat="1" ht="16.5" customHeight="1" hidden="1">
      <c r="A90" s="229" t="s">
        <v>20</v>
      </c>
      <c r="B90" s="238">
        <f>SUM(B88:B89)</f>
        <v>12218</v>
      </c>
      <c r="C90" s="146"/>
      <c r="D90" s="221"/>
      <c r="E90" s="220"/>
      <c r="F90" s="159"/>
      <c r="G90" s="240"/>
      <c r="H90" s="158"/>
      <c r="I90" s="158"/>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row>
    <row r="91" spans="1:114" s="245" customFormat="1" ht="16.5" customHeight="1" hidden="1">
      <c r="A91" s="263" t="s">
        <v>30</v>
      </c>
      <c r="B91" s="261">
        <v>3133</v>
      </c>
      <c r="C91" s="215" t="s">
        <v>44</v>
      </c>
      <c r="D91" s="262"/>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18.75" customHeight="1" hidden="1">
      <c r="A92" s="263" t="s">
        <v>30</v>
      </c>
      <c r="B92" s="261">
        <v>120</v>
      </c>
      <c r="C92" s="215" t="s">
        <v>36</v>
      </c>
      <c r="D92" s="262"/>
      <c r="E92" s="220"/>
      <c r="F92" s="159"/>
      <c r="G92" s="240"/>
      <c r="H92" s="158"/>
      <c r="I92" s="158"/>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18.75" customHeight="1" hidden="1">
      <c r="A93" s="263" t="s">
        <v>30</v>
      </c>
      <c r="B93" s="261">
        <v>210</v>
      </c>
      <c r="C93" s="215" t="s">
        <v>36</v>
      </c>
      <c r="D93" s="262"/>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6.5" customHeight="1" hidden="1">
      <c r="A94" s="229" t="s">
        <v>20</v>
      </c>
      <c r="B94" s="220">
        <f>SUM(B91:B93)</f>
        <v>3463</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7.25" customHeight="1" hidden="1">
      <c r="A95" s="263" t="s">
        <v>31</v>
      </c>
      <c r="B95" s="265">
        <v>60</v>
      </c>
      <c r="C95" s="215" t="s">
        <v>48</v>
      </c>
      <c r="D95" s="265">
        <v>149639.87</v>
      </c>
      <c r="E95" s="289" t="s">
        <v>47</v>
      </c>
      <c r="F95" s="156"/>
      <c r="G95" s="240"/>
      <c r="H95" s="263"/>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7.25" customHeight="1" hidden="1">
      <c r="A96" s="263" t="s">
        <v>31</v>
      </c>
      <c r="B96" s="265">
        <v>3951.33</v>
      </c>
      <c r="C96" s="215" t="s">
        <v>51</v>
      </c>
      <c r="D96" s="265"/>
      <c r="E96" s="289"/>
      <c r="F96" s="156"/>
      <c r="G96" s="240"/>
      <c r="H96" s="263"/>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9" ht="15.75" customHeight="1">
      <c r="A97" s="366" t="s">
        <v>37</v>
      </c>
      <c r="B97" s="359">
        <v>13985</v>
      </c>
      <c r="C97" s="361" t="s">
        <v>43</v>
      </c>
      <c r="D97" s="262"/>
      <c r="E97" s="261"/>
      <c r="F97" s="396"/>
      <c r="G97" s="376"/>
      <c r="H97" s="259"/>
      <c r="I97" s="207"/>
    </row>
    <row r="98" spans="1:9" ht="33" customHeight="1">
      <c r="A98" s="367"/>
      <c r="B98" s="360"/>
      <c r="C98" s="375"/>
      <c r="D98" s="262">
        <v>4</v>
      </c>
      <c r="E98" s="307" t="s">
        <v>364</v>
      </c>
      <c r="F98" s="398"/>
      <c r="G98" s="377"/>
      <c r="H98" s="162"/>
      <c r="I98" s="213"/>
    </row>
    <row r="99" spans="1:114" s="245" customFormat="1" ht="25.5" customHeight="1">
      <c r="A99" s="229" t="s">
        <v>20</v>
      </c>
      <c r="B99" s="252">
        <f>SUM(B97:B97)</f>
        <v>13985</v>
      </c>
      <c r="C99" s="362"/>
      <c r="D99" s="220">
        <f>SUM(D97:D98)</f>
        <v>4</v>
      </c>
      <c r="E99" s="221"/>
      <c r="F99" s="160">
        <f>F97</f>
        <v>0</v>
      </c>
      <c r="G99" s="240"/>
      <c r="H99" s="158">
        <f>SUM(H97:H98)</f>
        <v>0</v>
      </c>
      <c r="I99" s="231"/>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24.75" customHeight="1">
      <c r="A100" s="366" t="s">
        <v>30</v>
      </c>
      <c r="B100" s="359"/>
      <c r="C100" s="234"/>
      <c r="D100" s="287"/>
      <c r="E100" s="214"/>
      <c r="F100" s="396"/>
      <c r="G100" s="376"/>
      <c r="H100" s="259"/>
      <c r="I100" s="207"/>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9" ht="16.5" customHeight="1">
      <c r="A101" s="367"/>
      <c r="B101" s="360"/>
      <c r="C101" s="215"/>
      <c r="D101" s="262"/>
      <c r="E101" s="261"/>
      <c r="F101" s="398"/>
      <c r="G101" s="377"/>
      <c r="H101" s="262"/>
      <c r="I101" s="299"/>
    </row>
    <row r="102" spans="1:114" s="245" customFormat="1" ht="25.5" customHeight="1">
      <c r="A102" s="229" t="s">
        <v>20</v>
      </c>
      <c r="B102" s="238">
        <f>SUM(B100:B100)</f>
        <v>0</v>
      </c>
      <c r="C102" s="147"/>
      <c r="D102" s="220">
        <f>D101+D100</f>
        <v>0</v>
      </c>
      <c r="E102" s="221"/>
      <c r="F102" s="160">
        <f>F100</f>
        <v>0</v>
      </c>
      <c r="G102" s="240"/>
      <c r="H102" s="158">
        <f>SUM(H100:H101)</f>
        <v>0</v>
      </c>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27" customHeight="1">
      <c r="A103" s="366" t="s">
        <v>57</v>
      </c>
      <c r="B103" s="359"/>
      <c r="C103" s="409"/>
      <c r="D103" s="287"/>
      <c r="E103" s="214"/>
      <c r="F103" s="396"/>
      <c r="G103" s="376"/>
      <c r="H103" s="259"/>
      <c r="I103" s="207"/>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25.5" customHeight="1">
      <c r="A104" s="367"/>
      <c r="B104" s="360"/>
      <c r="C104" s="410"/>
      <c r="D104" s="262"/>
      <c r="E104" s="261"/>
      <c r="F104" s="398"/>
      <c r="G104" s="377"/>
      <c r="H104" s="259"/>
      <c r="I104" s="207"/>
    </row>
    <row r="105" spans="1:114" s="245" customFormat="1" ht="21" customHeight="1">
      <c r="A105" s="229" t="s">
        <v>20</v>
      </c>
      <c r="B105" s="238">
        <f>SUM(B103:B104)</f>
        <v>0</v>
      </c>
      <c r="C105" s="147"/>
      <c r="D105" s="220">
        <f>D104+D103</f>
        <v>0</v>
      </c>
      <c r="E105" s="221"/>
      <c r="F105" s="160">
        <f>F103</f>
        <v>0</v>
      </c>
      <c r="G105" s="240"/>
      <c r="H105" s="158">
        <f>SUM(H103:H104)</f>
        <v>0</v>
      </c>
      <c r="I105" s="231"/>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row>
    <row r="106" spans="1:114" s="245" customFormat="1" ht="0.75" customHeight="1" hidden="1">
      <c r="A106" s="365" t="s">
        <v>31</v>
      </c>
      <c r="B106" s="369">
        <f>110.7</f>
        <v>110.7</v>
      </c>
      <c r="C106" s="215"/>
      <c r="D106" s="261"/>
      <c r="E106" s="290"/>
      <c r="F106" s="396"/>
      <c r="G106" s="376"/>
      <c r="H106" s="158"/>
      <c r="I106" s="231"/>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114" s="245" customFormat="1" ht="33" customHeight="1">
      <c r="A107" s="365"/>
      <c r="B107" s="369"/>
      <c r="C107" s="366" t="s">
        <v>348</v>
      </c>
      <c r="D107" s="262">
        <v>4</v>
      </c>
      <c r="E107" s="307" t="s">
        <v>364</v>
      </c>
      <c r="F107" s="397"/>
      <c r="G107" s="386"/>
      <c r="H107" s="156"/>
      <c r="I107" s="213"/>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row>
    <row r="108" spans="1:9" ht="17.25" customHeight="1">
      <c r="A108" s="365"/>
      <c r="B108" s="369"/>
      <c r="C108" s="367"/>
      <c r="D108" s="261"/>
      <c r="E108" s="261"/>
      <c r="F108" s="398"/>
      <c r="G108" s="377"/>
      <c r="H108" s="156"/>
      <c r="I108" s="213"/>
    </row>
    <row r="109" spans="1:114" s="245" customFormat="1" ht="24" customHeight="1">
      <c r="A109" s="229" t="s">
        <v>20</v>
      </c>
      <c r="B109" s="252">
        <f>SUM(B106:B106)</f>
        <v>110.7</v>
      </c>
      <c r="C109" s="215"/>
      <c r="D109" s="220">
        <f>D108+D106+D107</f>
        <v>4</v>
      </c>
      <c r="E109" s="262"/>
      <c r="F109" s="160">
        <f>F106</f>
        <v>0</v>
      </c>
      <c r="G109" s="240"/>
      <c r="H109" s="250">
        <f>SUM(H106:H108)</f>
        <v>0</v>
      </c>
      <c r="I109" s="231"/>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row>
    <row r="110" spans="1:114" s="245" customFormat="1" ht="26.25" customHeight="1">
      <c r="A110" s="365" t="s">
        <v>58</v>
      </c>
      <c r="B110" s="359"/>
      <c r="C110" s="361"/>
      <c r="D110" s="261"/>
      <c r="E110" s="262"/>
      <c r="F110" s="393"/>
      <c r="G110" s="376"/>
      <c r="H110" s="259"/>
      <c r="I110" s="207"/>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15.75" customHeight="1">
      <c r="A111" s="365"/>
      <c r="B111" s="360"/>
      <c r="C111" s="362"/>
      <c r="D111" s="287"/>
      <c r="E111" s="214"/>
      <c r="F111" s="395"/>
      <c r="G111" s="377"/>
      <c r="H111" s="263"/>
      <c r="I111" s="158"/>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9.5" customHeight="1">
      <c r="A112" s="229" t="s">
        <v>20</v>
      </c>
      <c r="B112" s="266">
        <f>B110</f>
        <v>0</v>
      </c>
      <c r="C112" s="146"/>
      <c r="D112" s="266">
        <f>SUM(D110:D111)</f>
        <v>0</v>
      </c>
      <c r="E112" s="220"/>
      <c r="F112" s="159">
        <f>F110</f>
        <v>0</v>
      </c>
      <c r="G112" s="240"/>
      <c r="H112" s="158">
        <f>SUM(H110:H111)</f>
        <v>0</v>
      </c>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114" s="245" customFormat="1" ht="22.5" customHeight="1">
      <c r="A113" s="366" t="s">
        <v>320</v>
      </c>
      <c r="B113" s="402"/>
      <c r="C113" s="218"/>
      <c r="D113" s="265"/>
      <c r="E113" s="262"/>
      <c r="F113" s="393"/>
      <c r="G113" s="376"/>
      <c r="H113" s="158"/>
      <c r="I113" s="158"/>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17.25" customHeight="1">
      <c r="A114" s="372"/>
      <c r="B114" s="403"/>
      <c r="C114" s="361"/>
      <c r="D114" s="291"/>
      <c r="E114" s="214"/>
      <c r="F114" s="394"/>
      <c r="G114" s="386"/>
      <c r="H114" s="263"/>
      <c r="I114" s="207"/>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14.25" customHeight="1">
      <c r="A115" s="372"/>
      <c r="B115" s="403"/>
      <c r="C115" s="362"/>
      <c r="D115" s="261"/>
      <c r="E115" s="276"/>
      <c r="F115" s="395"/>
      <c r="G115" s="377"/>
      <c r="H115" s="263"/>
      <c r="I115" s="158"/>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21" customHeight="1">
      <c r="A116" s="229" t="s">
        <v>20</v>
      </c>
      <c r="B116" s="266">
        <f>SUM(B113)</f>
        <v>0</v>
      </c>
      <c r="C116" s="146"/>
      <c r="D116" s="266">
        <f>SUM(D113:D115)</f>
        <v>0</v>
      </c>
      <c r="E116" s="220"/>
      <c r="F116" s="159">
        <f>F113</f>
        <v>0</v>
      </c>
      <c r="G116" s="240"/>
      <c r="H116" s="158">
        <f>SUM(H113:H115)</f>
        <v>0</v>
      </c>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22.5" customHeight="1">
      <c r="A117" s="365" t="s">
        <v>328</v>
      </c>
      <c r="B117" s="402"/>
      <c r="C117" s="215" t="s">
        <v>339</v>
      </c>
      <c r="D117" s="261">
        <v>2</v>
      </c>
      <c r="E117" s="411" t="s">
        <v>332</v>
      </c>
      <c r="F117" s="393"/>
      <c r="G117" s="376"/>
      <c r="H117" s="261"/>
      <c r="I117" s="299"/>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17.25" customHeight="1">
      <c r="A118" s="365"/>
      <c r="B118" s="404"/>
      <c r="C118" s="215"/>
      <c r="D118" s="287"/>
      <c r="E118" s="417"/>
      <c r="F118" s="395"/>
      <c r="G118" s="377"/>
      <c r="H118" s="158"/>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9.5" customHeight="1">
      <c r="A119" s="229" t="s">
        <v>20</v>
      </c>
      <c r="B119" s="220">
        <f>SUM(B117)</f>
        <v>0</v>
      </c>
      <c r="C119" s="146"/>
      <c r="D119" s="221">
        <f>SUM(D117:D118)</f>
        <v>2</v>
      </c>
      <c r="E119" s="412"/>
      <c r="F119" s="159">
        <f>F117</f>
        <v>0</v>
      </c>
      <c r="G119" s="240"/>
      <c r="H119" s="158">
        <f>SUM(H117:H118)</f>
        <v>0</v>
      </c>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21" customHeight="1">
      <c r="A120" s="366" t="s">
        <v>59</v>
      </c>
      <c r="B120" s="402"/>
      <c r="C120" s="218"/>
      <c r="D120" s="261"/>
      <c r="E120" s="292"/>
      <c r="F120" s="393"/>
      <c r="G120" s="376"/>
      <c r="H120" s="259"/>
      <c r="I120" s="207"/>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15" customHeight="1">
      <c r="A121" s="367"/>
      <c r="B121" s="404"/>
      <c r="C121" s="215"/>
      <c r="D121" s="287"/>
      <c r="E121" s="214"/>
      <c r="F121" s="395"/>
      <c r="G121" s="377"/>
      <c r="H121" s="158"/>
      <c r="I121" s="158"/>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19.5" customHeight="1">
      <c r="A122" s="229" t="s">
        <v>20</v>
      </c>
      <c r="B122" s="220">
        <f>B120</f>
        <v>0</v>
      </c>
      <c r="C122" s="146"/>
      <c r="D122" s="221">
        <f>D120+D121</f>
        <v>0</v>
      </c>
      <c r="E122" s="261"/>
      <c r="F122" s="159">
        <f>F120</f>
        <v>0</v>
      </c>
      <c r="G122" s="240"/>
      <c r="H122" s="158">
        <f>SUM(H120:H121)</f>
        <v>0</v>
      </c>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24" customHeight="1">
      <c r="A123" s="366" t="s">
        <v>323</v>
      </c>
      <c r="B123" s="402"/>
      <c r="C123" s="387"/>
      <c r="D123" s="262"/>
      <c r="E123" s="280"/>
      <c r="F123" s="393"/>
      <c r="G123" s="405"/>
      <c r="H123" s="259"/>
      <c r="I123" s="207"/>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16.5" customHeight="1">
      <c r="A124" s="367"/>
      <c r="B124" s="404"/>
      <c r="C124" s="389"/>
      <c r="D124" s="287"/>
      <c r="E124" s="214"/>
      <c r="F124" s="395"/>
      <c r="G124" s="406"/>
      <c r="H124" s="158"/>
      <c r="I124" s="158"/>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21.75" customHeight="1">
      <c r="A125" s="229" t="s">
        <v>20</v>
      </c>
      <c r="B125" s="220">
        <f>B123</f>
        <v>0</v>
      </c>
      <c r="C125" s="146"/>
      <c r="D125" s="221">
        <f>D124+D123</f>
        <v>0</v>
      </c>
      <c r="E125" s="261"/>
      <c r="F125" s="159">
        <f>F123</f>
        <v>0</v>
      </c>
      <c r="G125" s="240"/>
      <c r="H125" s="158">
        <f>SUM(H123:H124)</f>
        <v>0</v>
      </c>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8.75" customHeight="1">
      <c r="A126" s="366" t="s">
        <v>60</v>
      </c>
      <c r="B126" s="402"/>
      <c r="C126" s="219"/>
      <c r="D126" s="287"/>
      <c r="E126" s="214"/>
      <c r="F126" s="393"/>
      <c r="G126" s="376"/>
      <c r="H126" s="261"/>
      <c r="I126" s="299"/>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5.75">
      <c r="A127" s="367"/>
      <c r="B127" s="404"/>
      <c r="C127" s="215"/>
      <c r="D127" s="261"/>
      <c r="E127" s="261"/>
      <c r="F127" s="395"/>
      <c r="G127" s="377"/>
      <c r="H127" s="158"/>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20.25" customHeight="1">
      <c r="A128" s="229" t="s">
        <v>20</v>
      </c>
      <c r="B128" s="220">
        <f>SUM(B126)</f>
        <v>0</v>
      </c>
      <c r="C128" s="146"/>
      <c r="D128" s="221">
        <f>D127+D126</f>
        <v>0</v>
      </c>
      <c r="E128" s="261"/>
      <c r="F128" s="159">
        <f>F126</f>
        <v>0</v>
      </c>
      <c r="G128" s="240"/>
      <c r="H128" s="158">
        <f>SUM(H126:H127)</f>
        <v>0</v>
      </c>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0.25" customHeight="1">
      <c r="A129" s="366" t="s">
        <v>61</v>
      </c>
      <c r="B129" s="402"/>
      <c r="C129" s="387"/>
      <c r="D129" s="287"/>
      <c r="E129" s="214"/>
      <c r="F129" s="393"/>
      <c r="G129" s="376"/>
      <c r="H129" s="259"/>
      <c r="I129" s="207"/>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0.75" customHeight="1" hidden="1">
      <c r="A130" s="372"/>
      <c r="B130" s="403"/>
      <c r="C130" s="389"/>
      <c r="D130" s="293"/>
      <c r="E130" s="293"/>
      <c r="F130" s="394"/>
      <c r="G130" s="386"/>
      <c r="H130" s="158"/>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20.25" customHeight="1">
      <c r="A131" s="367"/>
      <c r="B131" s="404"/>
      <c r="C131" s="215"/>
      <c r="D131" s="261"/>
      <c r="E131" s="280"/>
      <c r="F131" s="395"/>
      <c r="G131" s="377"/>
      <c r="H131" s="158"/>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19.5" customHeight="1">
      <c r="A132" s="229" t="s">
        <v>20</v>
      </c>
      <c r="B132" s="220">
        <f>SUM(B129)</f>
        <v>0</v>
      </c>
      <c r="C132" s="146"/>
      <c r="D132" s="221">
        <f>SUM(D129:D131)</f>
        <v>0</v>
      </c>
      <c r="E132" s="261"/>
      <c r="F132" s="159">
        <f>F129</f>
        <v>0</v>
      </c>
      <c r="G132" s="240"/>
      <c r="H132" s="158">
        <f>SUM(H129:H131)</f>
        <v>0</v>
      </c>
      <c r="I132" s="158"/>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25.5" customHeight="1">
      <c r="A133" s="365" t="s">
        <v>62</v>
      </c>
      <c r="B133" s="408"/>
      <c r="C133" s="217"/>
      <c r="D133" s="287">
        <v>3629.28</v>
      </c>
      <c r="E133" s="411" t="s">
        <v>341</v>
      </c>
      <c r="F133" s="393"/>
      <c r="G133" s="376"/>
      <c r="H133" s="259"/>
      <c r="I133" s="207"/>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19.5" customHeight="1">
      <c r="A134" s="365"/>
      <c r="B134" s="408"/>
      <c r="C134" s="215"/>
      <c r="D134" s="261"/>
      <c r="E134" s="417"/>
      <c r="F134" s="395"/>
      <c r="G134" s="377"/>
      <c r="H134" s="158"/>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1" customHeight="1">
      <c r="A135" s="229" t="s">
        <v>20</v>
      </c>
      <c r="B135" s="220">
        <f>SUM(B133)</f>
        <v>0</v>
      </c>
      <c r="C135" s="146"/>
      <c r="D135" s="221">
        <f>SUM(D133:D134)</f>
        <v>3629.28</v>
      </c>
      <c r="E135" s="412"/>
      <c r="F135" s="159">
        <f>F133</f>
        <v>0</v>
      </c>
      <c r="G135" s="240"/>
      <c r="H135" s="158">
        <f>SUM(H133:H134)</f>
        <v>0</v>
      </c>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27.75" customHeight="1">
      <c r="A136" s="366" t="s">
        <v>46</v>
      </c>
      <c r="B136" s="402"/>
      <c r="C136" s="218"/>
      <c r="D136" s="261"/>
      <c r="E136" s="280"/>
      <c r="F136" s="393"/>
      <c r="G136" s="376"/>
      <c r="H136" s="259"/>
      <c r="I136" s="207"/>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8" customHeight="1">
      <c r="A137" s="367"/>
      <c r="B137" s="404"/>
      <c r="C137" s="302"/>
      <c r="D137" s="261"/>
      <c r="E137" s="262"/>
      <c r="F137" s="395"/>
      <c r="G137" s="377"/>
      <c r="H137" s="158"/>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8.75" customHeight="1">
      <c r="A138" s="229" t="s">
        <v>20</v>
      </c>
      <c r="B138" s="220">
        <f>B136</f>
        <v>0</v>
      </c>
      <c r="C138" s="146"/>
      <c r="D138" s="221">
        <f>D137+D136</f>
        <v>0</v>
      </c>
      <c r="E138" s="220"/>
      <c r="F138" s="159">
        <f>F136</f>
        <v>0</v>
      </c>
      <c r="G138" s="240"/>
      <c r="H138" s="158">
        <f>SUM(H136:H137)</f>
        <v>0</v>
      </c>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22.5" customHeight="1">
      <c r="A139" s="366" t="s">
        <v>63</v>
      </c>
      <c r="B139" s="402">
        <v>6799</v>
      </c>
      <c r="C139" s="215" t="s">
        <v>340</v>
      </c>
      <c r="D139" s="261">
        <v>1</v>
      </c>
      <c r="E139" s="411" t="s">
        <v>332</v>
      </c>
      <c r="F139" s="393"/>
      <c r="G139" s="376"/>
      <c r="H139" s="158"/>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18.75" customHeight="1">
      <c r="A140" s="367"/>
      <c r="B140" s="404"/>
      <c r="C140" s="215"/>
      <c r="D140" s="287"/>
      <c r="E140" s="417"/>
      <c r="F140" s="395"/>
      <c r="G140" s="377"/>
      <c r="H140" s="261"/>
      <c r="I140" s="301"/>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23.25" customHeight="1">
      <c r="A141" s="229" t="s">
        <v>20</v>
      </c>
      <c r="B141" s="220">
        <f>B139</f>
        <v>6799</v>
      </c>
      <c r="C141" s="146"/>
      <c r="D141" s="221">
        <f>D140+D139</f>
        <v>1</v>
      </c>
      <c r="E141" s="412"/>
      <c r="F141" s="159">
        <f>F139</f>
        <v>0</v>
      </c>
      <c r="G141" s="240"/>
      <c r="H141" s="158">
        <f>SUM(H139:H140)</f>
        <v>0</v>
      </c>
      <c r="I141" s="158"/>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24" customHeight="1">
      <c r="A142" s="228" t="s">
        <v>111</v>
      </c>
      <c r="B142" s="220"/>
      <c r="C142" s="146"/>
      <c r="D142" s="221"/>
      <c r="E142" s="220"/>
      <c r="F142" s="162"/>
      <c r="G142" s="240"/>
      <c r="H142" s="152"/>
      <c r="I142" s="207"/>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23.25" customHeight="1">
      <c r="A143" s="229" t="s">
        <v>20</v>
      </c>
      <c r="B143" s="220">
        <v>0</v>
      </c>
      <c r="C143" s="146"/>
      <c r="D143" s="221">
        <v>0</v>
      </c>
      <c r="E143" s="220"/>
      <c r="F143" s="159">
        <v>0</v>
      </c>
      <c r="G143" s="240"/>
      <c r="H143" s="250">
        <f>SUM(H142)</f>
        <v>0</v>
      </c>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1.75" customHeight="1">
      <c r="A144" s="157" t="s">
        <v>272</v>
      </c>
      <c r="B144" s="261"/>
      <c r="C144" s="215"/>
      <c r="D144" s="287"/>
      <c r="E144" s="214"/>
      <c r="F144" s="156"/>
      <c r="G144" s="240"/>
      <c r="H144" s="259"/>
      <c r="I144" s="207"/>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4.75" customHeight="1">
      <c r="A145" s="229" t="s">
        <v>20</v>
      </c>
      <c r="B145" s="220">
        <f>B144</f>
        <v>0</v>
      </c>
      <c r="C145" s="146"/>
      <c r="D145" s="221">
        <f>D144</f>
        <v>0</v>
      </c>
      <c r="E145" s="220"/>
      <c r="F145" s="159"/>
      <c r="G145" s="240"/>
      <c r="H145" s="158">
        <f>H144</f>
        <v>0</v>
      </c>
      <c r="I145" s="158"/>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72" customHeight="1">
      <c r="A146" s="157" t="s">
        <v>54</v>
      </c>
      <c r="B146" s="261"/>
      <c r="C146" s="215" t="s">
        <v>331</v>
      </c>
      <c r="D146" s="287">
        <v>1</v>
      </c>
      <c r="E146" s="214" t="s">
        <v>332</v>
      </c>
      <c r="F146" s="156"/>
      <c r="G146" s="240"/>
      <c r="H146" s="259"/>
      <c r="I146" s="207"/>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20.25" customHeight="1">
      <c r="A147" s="229" t="s">
        <v>20</v>
      </c>
      <c r="B147" s="220">
        <f>B146</f>
        <v>0</v>
      </c>
      <c r="C147" s="146"/>
      <c r="D147" s="221">
        <f>D146</f>
        <v>1</v>
      </c>
      <c r="E147" s="220"/>
      <c r="F147" s="159"/>
      <c r="G147" s="240"/>
      <c r="H147" s="158">
        <f>H146</f>
        <v>0</v>
      </c>
      <c r="I147" s="158"/>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30.75" customHeight="1">
      <c r="A148" s="157" t="s">
        <v>66</v>
      </c>
      <c r="B148" s="261"/>
      <c r="C148" s="215"/>
      <c r="D148" s="287"/>
      <c r="E148" s="214"/>
      <c r="F148" s="156"/>
      <c r="G148" s="240"/>
      <c r="H148" s="259"/>
      <c r="I148" s="207"/>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23.25" customHeight="1">
      <c r="A149" s="229" t="s">
        <v>20</v>
      </c>
      <c r="B149" s="220">
        <f>B148</f>
        <v>0</v>
      </c>
      <c r="C149" s="146"/>
      <c r="D149" s="221">
        <f>D148</f>
        <v>0</v>
      </c>
      <c r="E149" s="220"/>
      <c r="F149" s="159"/>
      <c r="G149" s="240"/>
      <c r="H149" s="158">
        <f>H148</f>
        <v>0</v>
      </c>
      <c r="I149" s="158"/>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36" customHeight="1">
      <c r="A150" s="228" t="s">
        <v>319</v>
      </c>
      <c r="B150" s="220"/>
      <c r="C150" s="146"/>
      <c r="D150" s="287"/>
      <c r="E150" s="214"/>
      <c r="F150" s="159"/>
      <c r="G150" s="240"/>
      <c r="H150" s="259"/>
      <c r="I150" s="207"/>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29.25" customHeight="1">
      <c r="A151" s="229" t="s">
        <v>20</v>
      </c>
      <c r="B151" s="220">
        <f>B150</f>
        <v>0</v>
      </c>
      <c r="C151" s="146"/>
      <c r="D151" s="221">
        <f>D150</f>
        <v>0</v>
      </c>
      <c r="E151" s="220"/>
      <c r="F151" s="159"/>
      <c r="G151" s="240"/>
      <c r="H151" s="158">
        <f>H150</f>
        <v>0</v>
      </c>
      <c r="I151" s="158"/>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84" customHeight="1">
      <c r="A152" s="157" t="s">
        <v>317</v>
      </c>
      <c r="B152" s="261"/>
      <c r="C152" s="215" t="s">
        <v>334</v>
      </c>
      <c r="D152" s="286">
        <v>1600</v>
      </c>
      <c r="E152" s="214" t="s">
        <v>333</v>
      </c>
      <c r="F152" s="156"/>
      <c r="G152" s="240"/>
      <c r="H152" s="259"/>
      <c r="I152" s="207"/>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24.75" customHeight="1">
      <c r="A153" s="229" t="s">
        <v>20</v>
      </c>
      <c r="B153" s="220">
        <f>SUM(B152)</f>
        <v>0</v>
      </c>
      <c r="C153" s="146"/>
      <c r="D153" s="221">
        <f>D152</f>
        <v>1600</v>
      </c>
      <c r="E153" s="220"/>
      <c r="F153" s="159"/>
      <c r="G153" s="240"/>
      <c r="H153" s="158">
        <f>H152</f>
        <v>0</v>
      </c>
      <c r="I153" s="158"/>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7.75" customHeight="1">
      <c r="A154" s="157" t="s">
        <v>64</v>
      </c>
      <c r="B154" s="261">
        <v>2496</v>
      </c>
      <c r="C154" s="215" t="s">
        <v>342</v>
      </c>
      <c r="D154" s="287"/>
      <c r="E154" s="214"/>
      <c r="F154" s="156"/>
      <c r="G154" s="240"/>
      <c r="H154" s="259"/>
      <c r="I154" s="207"/>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23.25" customHeight="1">
      <c r="A155" s="229" t="s">
        <v>20</v>
      </c>
      <c r="B155" s="220">
        <f>B154</f>
        <v>2496</v>
      </c>
      <c r="C155" s="146"/>
      <c r="D155" s="221">
        <f>D154</f>
        <v>0</v>
      </c>
      <c r="E155" s="220"/>
      <c r="F155" s="159"/>
      <c r="G155" s="240"/>
      <c r="H155" s="158">
        <f>H154</f>
        <v>0</v>
      </c>
      <c r="I155" s="158"/>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24" customHeight="1">
      <c r="A156" s="366" t="s">
        <v>315</v>
      </c>
      <c r="B156" s="402"/>
      <c r="C156" s="361"/>
      <c r="D156" s="287"/>
      <c r="E156" s="214"/>
      <c r="F156" s="156"/>
      <c r="G156" s="240"/>
      <c r="H156" s="259"/>
      <c r="I156" s="207"/>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19.5" customHeight="1">
      <c r="A157" s="372"/>
      <c r="B157" s="403"/>
      <c r="C157" s="375"/>
      <c r="D157" s="261"/>
      <c r="E157" s="276"/>
      <c r="F157" s="156"/>
      <c r="G157" s="240"/>
      <c r="H157" s="158"/>
      <c r="I157" s="158"/>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4" customHeight="1">
      <c r="A158" s="267" t="s">
        <v>20</v>
      </c>
      <c r="B158" s="220">
        <f>B156</f>
        <v>0</v>
      </c>
      <c r="C158" s="362"/>
      <c r="D158" s="220">
        <f>D156+D157</f>
        <v>0</v>
      </c>
      <c r="E158" s="289"/>
      <c r="F158" s="156"/>
      <c r="G158" s="240"/>
      <c r="H158" s="158">
        <f>H156+H157</f>
        <v>0</v>
      </c>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30" customHeight="1">
      <c r="A159" s="157" t="s">
        <v>318</v>
      </c>
      <c r="B159" s="261"/>
      <c r="C159" s="215"/>
      <c r="D159" s="286"/>
      <c r="E159" s="214"/>
      <c r="F159" s="156"/>
      <c r="G159" s="240"/>
      <c r="H159" s="152"/>
      <c r="I159" s="207"/>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24.75" customHeight="1" thickBot="1">
      <c r="A160" s="229" t="s">
        <v>20</v>
      </c>
      <c r="B160" s="238">
        <f>B159</f>
        <v>0</v>
      </c>
      <c r="C160" s="146"/>
      <c r="D160" s="294">
        <f>D159</f>
        <v>0</v>
      </c>
      <c r="E160" s="220"/>
      <c r="F160" s="159"/>
      <c r="G160" s="240"/>
      <c r="H160" s="250">
        <f>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69" customFormat="1" ht="60.75" customHeight="1" thickBot="1">
      <c r="A161" s="253" t="s">
        <v>324</v>
      </c>
      <c r="B161" s="220">
        <f>SUM(B151+B66+B69+B72+B76+B79+B83+B86+B99+B102+B105+B109+B112+B158+B116+B119+B122+B125+B128+B132+B135+B138+B141+B145+B147+B149+B153+B155+B160)</f>
        <v>23805.7</v>
      </c>
      <c r="C161" s="220"/>
      <c r="D161" s="220">
        <f>SUM(D151+D66+D69+D72+D76+D158+D79+D83+D86+D99+D102+D105+D109+D112+D116+D119+D122+D125+D128+D132+D135+D138+D141+D145+D147+D149+D153+D155+D160)</f>
        <v>5249.280000000001</v>
      </c>
      <c r="E161" s="220">
        <f>SUM(E151+E66+E69+E72+E76+E158+E79+E83+E86+E99+E102+E105+E109+E112+E116+E119+E122+E125+E128+E132+E135+E138+E141+E145+E147+E149+E153+E155+E160)</f>
        <v>0</v>
      </c>
      <c r="F161" s="220">
        <f>SUM(F151+F66+F69+F72+F76+F158+F79+F83+F86+F99+F102+F105+F109+F112+F116+F119+F122+F125+F128+F132+F135+F138+F141+F145+F147+F149+F153+F155+F160)</f>
        <v>0</v>
      </c>
      <c r="G161" s="220">
        <f>SUM(G151+G66+G69+G72+G76+G158+G79+G83+G86+G99+G102+G105+G109+G112+G116+G119+G122+G125+G128+G132+G135+G138+G141+G145+G147+G149+G153+G155+G160)</f>
        <v>0</v>
      </c>
      <c r="H161" s="220">
        <f>SUM(H151+H66+H69+H72+H76+H158+H79+H83+H86+H99+H102+H105+H109+H112+H116+H119+H122+H125+H128+H132+H135+H138+H141+H145+H147+H149+H153+H155+H160)+H143</f>
        <v>0</v>
      </c>
      <c r="I161" s="220">
        <f>SUM(I151+I66+I69+I72+I76+I158+I79+I83+I86+I99+I102+I105+I109+I112+I116+I119+I122+I125+I128+I132+I135+I138+I141+I145+I147+I149+I153+I155+I160)</f>
        <v>0</v>
      </c>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row>
    <row r="162" spans="1:114" s="269" customFormat="1" ht="79.5" customHeight="1" thickBot="1">
      <c r="A162" s="229" t="s">
        <v>325</v>
      </c>
      <c r="B162" s="221">
        <f>SUM(B63+B161)</f>
        <v>142750.91000000003</v>
      </c>
      <c r="C162" s="221"/>
      <c r="D162" s="221">
        <f aca="true" t="shared" si="0" ref="D162:I162">D161+D63</f>
        <v>5253.280000000001</v>
      </c>
      <c r="E162" s="221">
        <f t="shared" si="0"/>
        <v>0</v>
      </c>
      <c r="F162" s="221">
        <f t="shared" si="0"/>
        <v>0</v>
      </c>
      <c r="G162" s="221">
        <f t="shared" si="0"/>
        <v>0</v>
      </c>
      <c r="H162" s="221">
        <f t="shared" si="0"/>
        <v>0</v>
      </c>
      <c r="I162" s="221">
        <f t="shared" si="0"/>
        <v>0</v>
      </c>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row>
    <row r="163" spans="1:114" s="272" customFormat="1" ht="9.75" customHeight="1" hidden="1">
      <c r="A163" s="222"/>
      <c r="B163" s="270"/>
      <c r="C163" s="222"/>
      <c r="D163" s="295"/>
      <c r="E163" s="273"/>
      <c r="F163" s="271"/>
      <c r="G163" s="271"/>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row>
    <row r="164" spans="1:114" s="272" customFormat="1" ht="33" customHeight="1">
      <c r="A164" s="223" t="s">
        <v>326</v>
      </c>
      <c r="B164" s="273"/>
      <c r="C164" s="223"/>
      <c r="D164" s="295"/>
      <c r="E164" s="273" t="s">
        <v>34</v>
      </c>
      <c r="F164" s="271"/>
      <c r="G164" s="223" t="s">
        <v>343</v>
      </c>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row>
    <row r="165" spans="1:9" ht="20.25" customHeight="1">
      <c r="A165" s="222" t="s">
        <v>35</v>
      </c>
      <c r="B165" s="270"/>
      <c r="C165" s="224"/>
      <c r="D165" s="296"/>
      <c r="E165" s="300"/>
      <c r="F165" s="222"/>
      <c r="G165" s="222" t="s">
        <v>344</v>
      </c>
      <c r="H165" s="182"/>
      <c r="I165" s="182"/>
    </row>
    <row r="166" spans="1:10" ht="20.25" customHeight="1">
      <c r="A166" s="224" t="s">
        <v>345</v>
      </c>
      <c r="B166" s="224"/>
      <c r="C166" s="224"/>
      <c r="D166" s="295"/>
      <c r="E166" s="298"/>
      <c r="F166" s="274"/>
      <c r="G166" s="274"/>
      <c r="H166" s="182"/>
      <c r="I166" s="246"/>
      <c r="J166" s="182" t="s">
        <v>327</v>
      </c>
    </row>
    <row r="167" spans="1:9" ht="20.25" customHeight="1">
      <c r="A167" s="224" t="s">
        <v>346</v>
      </c>
      <c r="B167" s="224"/>
      <c r="C167" s="224"/>
      <c r="D167" s="295"/>
      <c r="E167" s="298"/>
      <c r="F167" s="274"/>
      <c r="G167" s="274"/>
      <c r="H167" s="182"/>
      <c r="I167" s="182"/>
    </row>
    <row r="168" spans="1:9" ht="12" customHeight="1">
      <c r="A168" s="182"/>
      <c r="B168" s="225"/>
      <c r="C168" s="225"/>
      <c r="D168" s="297"/>
      <c r="E168" s="225"/>
      <c r="F168" s="182"/>
      <c r="G168" s="182"/>
      <c r="H168" s="182"/>
      <c r="I168" s="182"/>
    </row>
    <row r="169" spans="1:9" ht="15.75">
      <c r="A169" s="182"/>
      <c r="B169" s="225"/>
      <c r="C169" s="225"/>
      <c r="D169" s="297"/>
      <c r="E169" s="225"/>
      <c r="F169" s="182"/>
      <c r="G169" s="182"/>
      <c r="H169" s="182"/>
      <c r="I169" s="182"/>
    </row>
    <row r="170" spans="1:9" ht="15.75">
      <c r="A170" s="182"/>
      <c r="B170" s="225"/>
      <c r="C170" s="225"/>
      <c r="D170" s="297"/>
      <c r="E170" s="225"/>
      <c r="F170" s="182"/>
      <c r="G170" s="182"/>
      <c r="H170" s="182"/>
      <c r="I170" s="182"/>
    </row>
  </sheetData>
  <sheetProtection/>
  <mergeCells count="165">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E26:E27"/>
    <mergeCell ref="F26:F27"/>
    <mergeCell ref="A20:A21"/>
    <mergeCell ref="B20:B21"/>
    <mergeCell ref="C20:C21"/>
    <mergeCell ref="A23:A24"/>
    <mergeCell ref="B23:B24"/>
    <mergeCell ref="C23:C24"/>
    <mergeCell ref="G26:G27"/>
    <mergeCell ref="H26:H27"/>
    <mergeCell ref="I26:I27"/>
    <mergeCell ref="A30:A31"/>
    <mergeCell ref="B30:B31"/>
    <mergeCell ref="C30:C31"/>
    <mergeCell ref="A26:A28"/>
    <mergeCell ref="B26:B28"/>
    <mergeCell ref="C26:C28"/>
    <mergeCell ref="D26:D27"/>
    <mergeCell ref="A33:A34"/>
    <mergeCell ref="B33:B34"/>
    <mergeCell ref="C33:C34"/>
    <mergeCell ref="A36:A37"/>
    <mergeCell ref="B36:B37"/>
    <mergeCell ref="C36:C38"/>
    <mergeCell ref="A39:A40"/>
    <mergeCell ref="B39:B40"/>
    <mergeCell ref="C39:C40"/>
    <mergeCell ref="A42:A43"/>
    <mergeCell ref="B42:B43"/>
    <mergeCell ref="C42:C44"/>
    <mergeCell ref="A45:A46"/>
    <mergeCell ref="B45:B46"/>
    <mergeCell ref="C45:C46"/>
    <mergeCell ref="A48:A49"/>
    <mergeCell ref="B48:B49"/>
    <mergeCell ref="C48:C49"/>
    <mergeCell ref="A51:A52"/>
    <mergeCell ref="B51:B52"/>
    <mergeCell ref="C51:C52"/>
    <mergeCell ref="A54:A55"/>
    <mergeCell ref="B54:B55"/>
    <mergeCell ref="C54:C56"/>
    <mergeCell ref="A57:A58"/>
    <mergeCell ref="B57:B58"/>
    <mergeCell ref="C57:C58"/>
    <mergeCell ref="A60:A61"/>
    <mergeCell ref="B60:B61"/>
    <mergeCell ref="C60:C61"/>
    <mergeCell ref="A64:A65"/>
    <mergeCell ref="B64:B65"/>
    <mergeCell ref="C64:C66"/>
    <mergeCell ref="A67:A68"/>
    <mergeCell ref="B67:B68"/>
    <mergeCell ref="C67:C69"/>
    <mergeCell ref="A70:A71"/>
    <mergeCell ref="B70:B71"/>
    <mergeCell ref="C70:C71"/>
    <mergeCell ref="F70:F71"/>
    <mergeCell ref="G70:G71"/>
    <mergeCell ref="A73:A75"/>
    <mergeCell ref="B73:B75"/>
    <mergeCell ref="F73:F75"/>
    <mergeCell ref="G73:G75"/>
    <mergeCell ref="C74:C75"/>
    <mergeCell ref="A77:A78"/>
    <mergeCell ref="B77:B78"/>
    <mergeCell ref="C77:C78"/>
    <mergeCell ref="F77:F78"/>
    <mergeCell ref="G77:G78"/>
    <mergeCell ref="A80:A82"/>
    <mergeCell ref="B80:B82"/>
    <mergeCell ref="C80:C81"/>
    <mergeCell ref="F80:F82"/>
    <mergeCell ref="G80:G82"/>
    <mergeCell ref="A84:A85"/>
    <mergeCell ref="B84:B85"/>
    <mergeCell ref="C84:C86"/>
    <mergeCell ref="F84:F85"/>
    <mergeCell ref="G84:G85"/>
    <mergeCell ref="A97:A98"/>
    <mergeCell ref="B97:B98"/>
    <mergeCell ref="C97:C99"/>
    <mergeCell ref="F97:F98"/>
    <mergeCell ref="G97:G98"/>
    <mergeCell ref="A100:A101"/>
    <mergeCell ref="B100:B101"/>
    <mergeCell ref="F100:F101"/>
    <mergeCell ref="G100:G101"/>
    <mergeCell ref="A103:A104"/>
    <mergeCell ref="B103:B104"/>
    <mergeCell ref="C103:C104"/>
    <mergeCell ref="F103:F104"/>
    <mergeCell ref="G103:G104"/>
    <mergeCell ref="A106:A108"/>
    <mergeCell ref="B106:B108"/>
    <mergeCell ref="F106:F108"/>
    <mergeCell ref="G106:G108"/>
    <mergeCell ref="C107:C108"/>
    <mergeCell ref="A110:A111"/>
    <mergeCell ref="B110:B111"/>
    <mergeCell ref="C110:C111"/>
    <mergeCell ref="F110:F111"/>
    <mergeCell ref="G110:G111"/>
    <mergeCell ref="A113:A115"/>
    <mergeCell ref="B113:B115"/>
    <mergeCell ref="F113:F115"/>
    <mergeCell ref="G113:G115"/>
    <mergeCell ref="C114:C115"/>
    <mergeCell ref="A117:A118"/>
    <mergeCell ref="B117:B118"/>
    <mergeCell ref="E117:E119"/>
    <mergeCell ref="F117:F118"/>
    <mergeCell ref="G117:G118"/>
    <mergeCell ref="A120:A121"/>
    <mergeCell ref="B120:B121"/>
    <mergeCell ref="F120:F121"/>
    <mergeCell ref="G120:G121"/>
    <mergeCell ref="A123:A124"/>
    <mergeCell ref="B123:B124"/>
    <mergeCell ref="C123:C124"/>
    <mergeCell ref="F123:F124"/>
    <mergeCell ref="G123:G124"/>
    <mergeCell ref="A126:A127"/>
    <mergeCell ref="B126:B127"/>
    <mergeCell ref="F126:F127"/>
    <mergeCell ref="G126:G127"/>
    <mergeCell ref="A129:A131"/>
    <mergeCell ref="B129:B131"/>
    <mergeCell ref="C129:C130"/>
    <mergeCell ref="F129:F131"/>
    <mergeCell ref="G129:G131"/>
    <mergeCell ref="A133:A134"/>
    <mergeCell ref="B133:B134"/>
    <mergeCell ref="E133:E135"/>
    <mergeCell ref="F133:F134"/>
    <mergeCell ref="G133:G134"/>
    <mergeCell ref="A136:A137"/>
    <mergeCell ref="B136:B137"/>
    <mergeCell ref="F136:F137"/>
    <mergeCell ref="G136:G137"/>
    <mergeCell ref="A139:A140"/>
    <mergeCell ref="B139:B140"/>
    <mergeCell ref="E139:E141"/>
    <mergeCell ref="F139:F140"/>
    <mergeCell ref="G139:G140"/>
    <mergeCell ref="A156:A157"/>
    <mergeCell ref="B156:B157"/>
    <mergeCell ref="C156:C158"/>
  </mergeCells>
  <printOptions/>
  <pageMargins left="0.31496062992125984" right="0.11811023622047245" top="0.15748031496062992" bottom="0.15748031496062992" header="0.31496062992125984" footer="0.31496062992125984"/>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DJ170"/>
  <sheetViews>
    <sheetView zoomScalePageLayoutView="0" workbookViewId="0" topLeftCell="A149">
      <selection activeCell="A149" sqref="A1:IV16384"/>
    </sheetView>
  </sheetViews>
  <sheetFormatPr defaultColWidth="25.7109375" defaultRowHeight="15"/>
  <cols>
    <col min="1" max="1" width="14.28125" style="4" customWidth="1"/>
    <col min="2" max="2" width="13.7109375" style="226" customWidth="1"/>
    <col min="3" max="3" width="38.28125" style="226" customWidth="1"/>
    <col min="4" max="4" width="11.421875" style="275" customWidth="1"/>
    <col min="5" max="5" width="19.00390625" style="226" customWidth="1"/>
    <col min="6" max="6" width="10.8515625" style="4" customWidth="1"/>
    <col min="7" max="7" width="11.00390625" style="4" customWidth="1"/>
    <col min="8" max="8" width="9.28125" style="4" customWidth="1"/>
    <col min="9" max="9" width="14.8515625" style="4" customWidth="1"/>
    <col min="10" max="114" width="25.7109375" style="182" customWidth="1"/>
    <col min="115" max="16384" width="25.7109375" style="4" customWidth="1"/>
  </cols>
  <sheetData>
    <row r="1" spans="3:9" ht="18" customHeight="1">
      <c r="C1" s="4" t="s">
        <v>34</v>
      </c>
      <c r="G1" s="227" t="s">
        <v>316</v>
      </c>
      <c r="I1" s="227"/>
    </row>
    <row r="2" spans="3:9" ht="18" customHeight="1">
      <c r="C2" s="4"/>
      <c r="G2" s="227" t="s">
        <v>74</v>
      </c>
      <c r="I2" s="227"/>
    </row>
    <row r="3" spans="3:9" ht="16.5" customHeight="1">
      <c r="C3" s="4"/>
      <c r="G3" s="227" t="s">
        <v>227</v>
      </c>
      <c r="I3" s="227"/>
    </row>
    <row r="4" spans="3:9" ht="15.75">
      <c r="C4" s="4"/>
      <c r="G4" s="363"/>
      <c r="H4" s="363"/>
      <c r="I4" s="363"/>
    </row>
    <row r="5" spans="1:9" ht="15.75">
      <c r="A5" s="364" t="s">
        <v>26</v>
      </c>
      <c r="B5" s="364"/>
      <c r="C5" s="364"/>
      <c r="D5" s="364"/>
      <c r="E5" s="364"/>
      <c r="F5" s="364"/>
      <c r="G5" s="364"/>
      <c r="H5" s="364"/>
      <c r="I5" s="364"/>
    </row>
    <row r="6" spans="1:9" ht="15.75">
      <c r="A6" s="364" t="s">
        <v>362</v>
      </c>
      <c r="B6" s="364"/>
      <c r="C6" s="364"/>
      <c r="D6" s="364"/>
      <c r="E6" s="364"/>
      <c r="F6" s="364"/>
      <c r="G6" s="364"/>
      <c r="H6" s="364"/>
      <c r="I6" s="364"/>
    </row>
    <row r="7" spans="1:9" ht="26.25" customHeight="1">
      <c r="A7" s="364" t="s">
        <v>27</v>
      </c>
      <c r="B7" s="364"/>
      <c r="C7" s="364"/>
      <c r="D7" s="364"/>
      <c r="E7" s="364"/>
      <c r="F7" s="364"/>
      <c r="G7" s="364"/>
      <c r="H7" s="364"/>
      <c r="I7" s="364"/>
    </row>
    <row r="8" spans="1:10" ht="40.5" customHeight="1">
      <c r="A8" s="358" t="s">
        <v>28</v>
      </c>
      <c r="B8" s="358" t="s">
        <v>0</v>
      </c>
      <c r="C8" s="358"/>
      <c r="D8" s="358"/>
      <c r="E8" s="358"/>
      <c r="F8" s="358" t="s">
        <v>1</v>
      </c>
      <c r="G8" s="358"/>
      <c r="H8" s="358"/>
      <c r="I8" s="358"/>
      <c r="J8" s="235"/>
    </row>
    <row r="9" spans="1:10" ht="13.5" customHeight="1">
      <c r="A9" s="358"/>
      <c r="B9" s="358" t="s">
        <v>2</v>
      </c>
      <c r="C9" s="358"/>
      <c r="D9" s="357" t="s">
        <v>23</v>
      </c>
      <c r="E9" s="357"/>
      <c r="F9" s="358" t="s">
        <v>2</v>
      </c>
      <c r="G9" s="358"/>
      <c r="H9" s="358" t="s">
        <v>3</v>
      </c>
      <c r="I9" s="368"/>
      <c r="J9" s="235"/>
    </row>
    <row r="10" spans="1:10" ht="22.5" customHeight="1">
      <c r="A10" s="358"/>
      <c r="B10" s="358"/>
      <c r="C10" s="358"/>
      <c r="D10" s="357"/>
      <c r="E10" s="357"/>
      <c r="F10" s="358"/>
      <c r="G10" s="358"/>
      <c r="H10" s="368"/>
      <c r="I10" s="368"/>
      <c r="J10" s="235"/>
    </row>
    <row r="11" spans="1:10" ht="51" customHeight="1">
      <c r="A11" s="358"/>
      <c r="B11" s="214" t="s">
        <v>22</v>
      </c>
      <c r="C11" s="214" t="s">
        <v>4</v>
      </c>
      <c r="D11" s="214" t="s">
        <v>22</v>
      </c>
      <c r="E11" s="214" t="s">
        <v>5</v>
      </c>
      <c r="F11" s="207" t="s">
        <v>22</v>
      </c>
      <c r="G11" s="207" t="s">
        <v>4</v>
      </c>
      <c r="H11" s="207" t="s">
        <v>22</v>
      </c>
      <c r="I11" s="207" t="s">
        <v>6</v>
      </c>
      <c r="J11" s="235"/>
    </row>
    <row r="12" spans="1:10" ht="20.25" customHeight="1">
      <c r="A12" s="365" t="s">
        <v>24</v>
      </c>
      <c r="B12" s="369">
        <v>800</v>
      </c>
      <c r="C12" s="370" t="s">
        <v>353</v>
      </c>
      <c r="D12" s="262"/>
      <c r="E12" s="276"/>
      <c r="F12" s="236"/>
      <c r="G12" s="230"/>
      <c r="H12" s="237"/>
      <c r="I12" s="213"/>
      <c r="J12" s="235"/>
    </row>
    <row r="13" spans="1:10" ht="17.25" customHeight="1">
      <c r="A13" s="365"/>
      <c r="B13" s="369"/>
      <c r="C13" s="370"/>
      <c r="D13" s="214"/>
      <c r="E13" s="261"/>
      <c r="F13" s="236"/>
      <c r="G13" s="230"/>
      <c r="H13" s="237"/>
      <c r="I13" s="228"/>
      <c r="J13" s="235"/>
    </row>
    <row r="14" spans="1:114" s="245" customFormat="1" ht="20.25" customHeight="1">
      <c r="A14" s="229" t="s">
        <v>19</v>
      </c>
      <c r="B14" s="238">
        <f>SUM(B12:B13)</f>
        <v>800</v>
      </c>
      <c r="C14" s="146"/>
      <c r="D14" s="277">
        <f>D13+D12</f>
        <v>0</v>
      </c>
      <c r="E14" s="278"/>
      <c r="F14" s="239"/>
      <c r="G14" s="240"/>
      <c r="H14" s="241">
        <f>SUM(H12:H13)</f>
        <v>0</v>
      </c>
      <c r="I14" s="229"/>
      <c r="J14" s="242"/>
      <c r="K14" s="2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row>
    <row r="15" spans="1:11" ht="27.75" customHeight="1">
      <c r="A15" s="366" t="s">
        <v>7</v>
      </c>
      <c r="B15" s="359">
        <f>776.6+847.8+13872</f>
        <v>15496.4</v>
      </c>
      <c r="C15" s="361" t="s">
        <v>356</v>
      </c>
      <c r="D15" s="214"/>
      <c r="E15" s="276"/>
      <c r="F15" s="236"/>
      <c r="G15" s="230"/>
      <c r="H15" s="228"/>
      <c r="I15" s="213"/>
      <c r="J15" s="235"/>
      <c r="K15" s="246"/>
    </row>
    <row r="16" spans="1:11" ht="13.5" customHeight="1">
      <c r="A16" s="367"/>
      <c r="B16" s="360"/>
      <c r="C16" s="362"/>
      <c r="D16" s="214"/>
      <c r="E16" s="261"/>
      <c r="F16" s="236"/>
      <c r="G16" s="230"/>
      <c r="H16" s="228"/>
      <c r="I16" s="228"/>
      <c r="J16" s="235"/>
      <c r="K16" s="246"/>
    </row>
    <row r="17" spans="1:114" s="245" customFormat="1" ht="22.5" customHeight="1">
      <c r="A17" s="229" t="s">
        <v>19</v>
      </c>
      <c r="B17" s="238">
        <f>SUM(B15)</f>
        <v>15496.4</v>
      </c>
      <c r="C17" s="215"/>
      <c r="D17" s="279">
        <f>D16+D15</f>
        <v>0</v>
      </c>
      <c r="E17" s="278"/>
      <c r="F17" s="239"/>
      <c r="G17" s="240"/>
      <c r="H17" s="229">
        <f>SUM(H15:H16)</f>
        <v>0</v>
      </c>
      <c r="I17" s="229"/>
      <c r="J17" s="242"/>
      <c r="K17" s="243"/>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row>
    <row r="18" spans="1:114" s="245" customFormat="1" ht="41.25" customHeight="1">
      <c r="A18" s="305" t="s">
        <v>32</v>
      </c>
      <c r="B18" s="306">
        <v>670</v>
      </c>
      <c r="C18" s="215" t="s">
        <v>353</v>
      </c>
      <c r="D18" s="214"/>
      <c r="E18" s="276"/>
      <c r="F18" s="239"/>
      <c r="G18" s="240"/>
      <c r="H18" s="228"/>
      <c r="I18" s="213"/>
      <c r="J18" s="242"/>
      <c r="K18" s="243"/>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row>
    <row r="19" spans="1:114" s="245" customFormat="1" ht="33" customHeight="1">
      <c r="A19" s="229" t="s">
        <v>19</v>
      </c>
      <c r="B19" s="238">
        <f>SUM(B18)</f>
        <v>670</v>
      </c>
      <c r="C19" s="303"/>
      <c r="D19" s="279">
        <f>D18</f>
        <v>0</v>
      </c>
      <c r="E19" s="278"/>
      <c r="F19" s="248">
        <f>F18</f>
        <v>0</v>
      </c>
      <c r="G19" s="240"/>
      <c r="H19" s="229">
        <f>SUM(H18:H18)</f>
        <v>0</v>
      </c>
      <c r="I19" s="229"/>
      <c r="J19" s="242"/>
      <c r="K19" s="243"/>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row>
    <row r="20" spans="1:11" ht="20.25" customHeight="1">
      <c r="A20" s="366" t="s">
        <v>55</v>
      </c>
      <c r="B20" s="359">
        <f>537+3249.47</f>
        <v>3786.47</v>
      </c>
      <c r="C20" s="361" t="s">
        <v>363</v>
      </c>
      <c r="D20" s="214"/>
      <c r="E20" s="276"/>
      <c r="F20" s="236"/>
      <c r="G20" s="230"/>
      <c r="H20" s="228"/>
      <c r="I20" s="213"/>
      <c r="J20" s="235"/>
      <c r="K20" s="246"/>
    </row>
    <row r="21" spans="1:11" ht="26.25" customHeight="1">
      <c r="A21" s="367"/>
      <c r="B21" s="360"/>
      <c r="C21" s="416"/>
      <c r="D21" s="249"/>
      <c r="E21" s="261"/>
      <c r="F21" s="236"/>
      <c r="G21" s="230"/>
      <c r="H21" s="228"/>
      <c r="I21" s="228"/>
      <c r="J21" s="235"/>
      <c r="K21" s="246"/>
    </row>
    <row r="22" spans="1:114" s="245" customFormat="1" ht="28.5" customHeight="1">
      <c r="A22" s="229" t="s">
        <v>20</v>
      </c>
      <c r="B22" s="238">
        <f>B20</f>
        <v>3786.47</v>
      </c>
      <c r="C22" s="146"/>
      <c r="D22" s="281">
        <f>D21+D20</f>
        <v>0</v>
      </c>
      <c r="E22" s="282"/>
      <c r="F22" s="239"/>
      <c r="G22" s="240"/>
      <c r="H22" s="229">
        <f>SUM(H20:H21)</f>
        <v>0</v>
      </c>
      <c r="I22" s="229"/>
      <c r="J22" s="242"/>
      <c r="K22" s="243"/>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row>
    <row r="23" spans="1:114" s="245" customFormat="1" ht="47.25" customHeight="1">
      <c r="A23" s="366" t="s">
        <v>8</v>
      </c>
      <c r="B23" s="359">
        <v>2940</v>
      </c>
      <c r="C23" s="361" t="s">
        <v>335</v>
      </c>
      <c r="D23" s="214"/>
      <c r="E23" s="276"/>
      <c r="F23" s="239"/>
      <c r="G23" s="240"/>
      <c r="H23" s="228"/>
      <c r="I23" s="213"/>
      <c r="J23" s="242"/>
      <c r="K23" s="243"/>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row>
    <row r="24" spans="1:11" ht="15.75" customHeight="1">
      <c r="A24" s="367"/>
      <c r="B24" s="360"/>
      <c r="C24" s="362"/>
      <c r="D24" s="249"/>
      <c r="E24" s="261"/>
      <c r="F24" s="236"/>
      <c r="G24" s="230"/>
      <c r="H24" s="237"/>
      <c r="I24" s="230"/>
      <c r="J24" s="235"/>
      <c r="K24" s="246"/>
    </row>
    <row r="25" spans="1:114" s="245" customFormat="1" ht="23.25" customHeight="1">
      <c r="A25" s="229" t="s">
        <v>20</v>
      </c>
      <c r="B25" s="238">
        <f>B23</f>
        <v>2940</v>
      </c>
      <c r="C25" s="215"/>
      <c r="D25" s="281">
        <f>D24+D23</f>
        <v>0</v>
      </c>
      <c r="E25" s="282"/>
      <c r="F25" s="239"/>
      <c r="G25" s="240"/>
      <c r="H25" s="241">
        <f>SUM(H23:H24)</f>
        <v>0</v>
      </c>
      <c r="I25" s="229"/>
      <c r="J25" s="242"/>
      <c r="K25" s="243"/>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row>
    <row r="26" spans="1:114" s="245" customFormat="1" ht="18" customHeight="1">
      <c r="A26" s="366" t="s">
        <v>9</v>
      </c>
      <c r="B26" s="359">
        <v>697</v>
      </c>
      <c r="C26" s="361" t="s">
        <v>352</v>
      </c>
      <c r="D26" s="357"/>
      <c r="E26" s="357"/>
      <c r="F26" s="374"/>
      <c r="G26" s="371"/>
      <c r="H26" s="358"/>
      <c r="I26" s="358"/>
      <c r="J26" s="242"/>
      <c r="K26" s="243"/>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row>
    <row r="27" spans="1:114" s="245" customFormat="1" ht="14.25" customHeight="1">
      <c r="A27" s="372"/>
      <c r="B27" s="373"/>
      <c r="C27" s="375"/>
      <c r="D27" s="357"/>
      <c r="E27" s="357"/>
      <c r="F27" s="374"/>
      <c r="G27" s="371"/>
      <c r="H27" s="358"/>
      <c r="I27" s="358"/>
      <c r="J27" s="242"/>
      <c r="K27" s="243"/>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row>
    <row r="28" spans="1:114" s="245" customFormat="1" ht="10.5" customHeight="1">
      <c r="A28" s="367"/>
      <c r="B28" s="360"/>
      <c r="C28" s="362"/>
      <c r="D28" s="262"/>
      <c r="E28" s="261"/>
      <c r="F28" s="156"/>
      <c r="G28" s="240"/>
      <c r="H28" s="231"/>
      <c r="I28" s="231"/>
      <c r="J28" s="242"/>
      <c r="K28" s="243"/>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row>
    <row r="29" spans="1:114" s="245" customFormat="1" ht="22.5" customHeight="1">
      <c r="A29" s="229" t="s">
        <v>20</v>
      </c>
      <c r="B29" s="238">
        <f>SUM(B26:B27)</f>
        <v>697</v>
      </c>
      <c r="C29" s="216"/>
      <c r="D29" s="281">
        <f>D28+D26</f>
        <v>0</v>
      </c>
      <c r="E29" s="282"/>
      <c r="F29" s="250"/>
      <c r="G29" s="240"/>
      <c r="H29" s="231">
        <f>SUM(H26:H28)</f>
        <v>0</v>
      </c>
      <c r="I29" s="231"/>
      <c r="J29" s="242"/>
      <c r="K29" s="243"/>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row>
    <row r="30" spans="1:11" ht="14.25" customHeight="1">
      <c r="A30" s="366" t="s">
        <v>10</v>
      </c>
      <c r="B30" s="359">
        <v>700</v>
      </c>
      <c r="C30" s="361" t="s">
        <v>353</v>
      </c>
      <c r="D30" s="214"/>
      <c r="E30" s="283"/>
      <c r="F30" s="156"/>
      <c r="G30" s="230"/>
      <c r="H30" s="207"/>
      <c r="I30" s="207"/>
      <c r="J30" s="235"/>
      <c r="K30" s="246"/>
    </row>
    <row r="31" spans="1:11" ht="27.75" customHeight="1">
      <c r="A31" s="367"/>
      <c r="B31" s="360"/>
      <c r="C31" s="362"/>
      <c r="D31" s="214"/>
      <c r="E31" s="214"/>
      <c r="F31" s="156"/>
      <c r="G31" s="230"/>
      <c r="H31" s="207"/>
      <c r="I31" s="207"/>
      <c r="J31" s="235"/>
      <c r="K31" s="246"/>
    </row>
    <row r="32" spans="1:114" s="245" customFormat="1" ht="24" customHeight="1">
      <c r="A32" s="231" t="s">
        <v>20</v>
      </c>
      <c r="B32" s="238">
        <f>SUM(B30)</f>
        <v>700</v>
      </c>
      <c r="C32" s="216"/>
      <c r="D32" s="277">
        <f>D31+D30</f>
        <v>0</v>
      </c>
      <c r="E32" s="284"/>
      <c r="F32" s="160"/>
      <c r="G32" s="240"/>
      <c r="H32" s="231">
        <f>SUM(H30:H31)</f>
        <v>0</v>
      </c>
      <c r="I32" s="231"/>
      <c r="J32" s="242"/>
      <c r="K32" s="243"/>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row>
    <row r="33" spans="1:10" ht="42.75" customHeight="1">
      <c r="A33" s="365" t="s">
        <v>11</v>
      </c>
      <c r="B33" s="369">
        <f>24050+1000</f>
        <v>25050</v>
      </c>
      <c r="C33" s="370" t="s">
        <v>357</v>
      </c>
      <c r="D33" s="214"/>
      <c r="E33" s="214"/>
      <c r="F33" s="251"/>
      <c r="G33" s="230"/>
      <c r="H33" s="207"/>
      <c r="I33" s="207"/>
      <c r="J33" s="235"/>
    </row>
    <row r="34" spans="1:10" ht="24.75" customHeight="1">
      <c r="A34" s="365"/>
      <c r="B34" s="369"/>
      <c r="C34" s="370"/>
      <c r="D34" s="214"/>
      <c r="E34" s="261"/>
      <c r="F34" s="251"/>
      <c r="G34" s="230"/>
      <c r="H34" s="207"/>
      <c r="I34" s="207"/>
      <c r="J34" s="235"/>
    </row>
    <row r="35" spans="1:114" s="245" customFormat="1" ht="27.75" customHeight="1">
      <c r="A35" s="229" t="s">
        <v>20</v>
      </c>
      <c r="B35" s="238">
        <f>SUM(B33:B34)</f>
        <v>25050</v>
      </c>
      <c r="C35" s="146"/>
      <c r="D35" s="285">
        <f>D34+D33</f>
        <v>0</v>
      </c>
      <c r="E35" s="286"/>
      <c r="F35" s="250"/>
      <c r="G35" s="240"/>
      <c r="H35" s="231">
        <f>SUM(H33:H34)</f>
        <v>0</v>
      </c>
      <c r="I35" s="231"/>
      <c r="J35" s="242"/>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row>
    <row r="36" spans="1:10" ht="20.25" customHeight="1">
      <c r="A36" s="365" t="s">
        <v>49</v>
      </c>
      <c r="B36" s="369">
        <f>179.8+747</f>
        <v>926.8</v>
      </c>
      <c r="C36" s="361" t="s">
        <v>358</v>
      </c>
      <c r="D36" s="214"/>
      <c r="E36" s="214"/>
      <c r="F36" s="251"/>
      <c r="G36" s="230"/>
      <c r="H36" s="207"/>
      <c r="I36" s="207"/>
      <c r="J36" s="235"/>
    </row>
    <row r="37" spans="1:10" ht="12" customHeight="1">
      <c r="A37" s="365"/>
      <c r="B37" s="369"/>
      <c r="C37" s="375"/>
      <c r="D37" s="262"/>
      <c r="E37" s="261"/>
      <c r="F37" s="251"/>
      <c r="G37" s="230"/>
      <c r="H37" s="207"/>
      <c r="I37" s="207"/>
      <c r="J37" s="235"/>
    </row>
    <row r="38" spans="1:114" s="245" customFormat="1" ht="36" customHeight="1">
      <c r="A38" s="229" t="s">
        <v>20</v>
      </c>
      <c r="B38" s="238">
        <f>SUM(B36:B37)</f>
        <v>926.8</v>
      </c>
      <c r="C38" s="362"/>
      <c r="D38" s="221">
        <f>D37+D36</f>
        <v>0</v>
      </c>
      <c r="E38" s="286"/>
      <c r="F38" s="250"/>
      <c r="G38" s="240"/>
      <c r="H38" s="231">
        <f>H36</f>
        <v>0</v>
      </c>
      <c r="I38" s="231"/>
      <c r="J38" s="242"/>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row>
    <row r="39" spans="1:114" s="245" customFormat="1" ht="21" customHeight="1">
      <c r="A39" s="366" t="s">
        <v>12</v>
      </c>
      <c r="B39" s="359">
        <f>9410+19470+1680+2275</f>
        <v>32835</v>
      </c>
      <c r="C39" s="361" t="s">
        <v>351</v>
      </c>
      <c r="D39" s="262"/>
      <c r="E39" s="214"/>
      <c r="F39" s="250"/>
      <c r="G39" s="240"/>
      <c r="H39" s="207"/>
      <c r="I39" s="207"/>
      <c r="J39" s="242"/>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row>
    <row r="40" spans="1:10" ht="63" customHeight="1">
      <c r="A40" s="367"/>
      <c r="B40" s="360"/>
      <c r="C40" s="362"/>
      <c r="D40" s="214"/>
      <c r="E40" s="261"/>
      <c r="F40" s="156"/>
      <c r="G40" s="230"/>
      <c r="H40" s="207"/>
      <c r="I40" s="207"/>
      <c r="J40" s="235"/>
    </row>
    <row r="41" spans="1:114" s="245" customFormat="1" ht="23.25" customHeight="1">
      <c r="A41" s="229" t="s">
        <v>20</v>
      </c>
      <c r="B41" s="238">
        <f>SUM(B39)</f>
        <v>32835</v>
      </c>
      <c r="C41" s="215"/>
      <c r="D41" s="220">
        <f>D40+D39</f>
        <v>0</v>
      </c>
      <c r="E41" s="262"/>
      <c r="F41" s="250"/>
      <c r="G41" s="240"/>
      <c r="H41" s="231">
        <f>SUM(H39:H40)</f>
        <v>0</v>
      </c>
      <c r="I41" s="231"/>
      <c r="J41" s="242"/>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row>
    <row r="42" spans="1:114" s="245" customFormat="1" ht="32.25" customHeight="1">
      <c r="A42" s="366" t="s">
        <v>21</v>
      </c>
      <c r="B42" s="359">
        <f>757+675</f>
        <v>1432</v>
      </c>
      <c r="C42" s="361" t="s">
        <v>354</v>
      </c>
      <c r="D42" s="214"/>
      <c r="E42" s="214"/>
      <c r="F42" s="250"/>
      <c r="G42" s="240"/>
      <c r="H42" s="207"/>
      <c r="I42" s="207"/>
      <c r="J42" s="242"/>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row>
    <row r="43" spans="1:10" ht="16.5" customHeight="1">
      <c r="A43" s="367"/>
      <c r="B43" s="360"/>
      <c r="C43" s="375"/>
      <c r="D43" s="280"/>
      <c r="E43" s="261"/>
      <c r="F43" s="156"/>
      <c r="G43" s="230"/>
      <c r="H43" s="207"/>
      <c r="I43" s="207"/>
      <c r="J43" s="235"/>
    </row>
    <row r="44" spans="1:114" s="245" customFormat="1" ht="27.75" customHeight="1">
      <c r="A44" s="229" t="s">
        <v>20</v>
      </c>
      <c r="B44" s="238">
        <f>SUM(B42:B42)</f>
        <v>1432</v>
      </c>
      <c r="C44" s="362"/>
      <c r="D44" s="221">
        <f>D43+D42</f>
        <v>0</v>
      </c>
      <c r="E44" s="286"/>
      <c r="F44" s="250"/>
      <c r="G44" s="240"/>
      <c r="H44" s="231">
        <f>SUM(H42:H43)</f>
        <v>0</v>
      </c>
      <c r="I44" s="231"/>
      <c r="J44" s="242"/>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row>
    <row r="45" spans="1:114" s="245" customFormat="1" ht="54" customHeight="1">
      <c r="A45" s="366" t="s">
        <v>13</v>
      </c>
      <c r="B45" s="359">
        <v>1330</v>
      </c>
      <c r="C45" s="361" t="s">
        <v>361</v>
      </c>
      <c r="D45" s="262">
        <v>4</v>
      </c>
      <c r="E45" s="307" t="s">
        <v>364</v>
      </c>
      <c r="F45" s="250"/>
      <c r="G45" s="240"/>
      <c r="H45" s="231"/>
      <c r="I45" s="231"/>
      <c r="J45" s="242"/>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row>
    <row r="46" spans="1:10" ht="23.25" customHeight="1">
      <c r="A46" s="367"/>
      <c r="B46" s="360"/>
      <c r="C46" s="362"/>
      <c r="D46" s="214"/>
      <c r="E46" s="214"/>
      <c r="F46" s="152"/>
      <c r="G46" s="230"/>
      <c r="H46" s="207"/>
      <c r="I46" s="207"/>
      <c r="J46" s="235"/>
    </row>
    <row r="47" spans="1:114" s="245" customFormat="1" ht="31.5" customHeight="1">
      <c r="A47" s="229" t="s">
        <v>20</v>
      </c>
      <c r="B47" s="238">
        <f>SUM(B45)</f>
        <v>1330</v>
      </c>
      <c r="C47" s="215"/>
      <c r="D47" s="220">
        <f>D46+D45</f>
        <v>4</v>
      </c>
      <c r="E47" s="286"/>
      <c r="F47" s="250"/>
      <c r="G47" s="240"/>
      <c r="H47" s="231">
        <f>SUM(H45:H46)</f>
        <v>0</v>
      </c>
      <c r="I47" s="231"/>
      <c r="J47" s="242"/>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row>
    <row r="48" spans="1:114" s="245" customFormat="1" ht="15" customHeight="1">
      <c r="A48" s="366" t="s">
        <v>14</v>
      </c>
      <c r="B48" s="359">
        <v>880</v>
      </c>
      <c r="C48" s="361" t="s">
        <v>350</v>
      </c>
      <c r="D48" s="261"/>
      <c r="E48" s="276"/>
      <c r="F48" s="250"/>
      <c r="G48" s="240"/>
      <c r="H48" s="231"/>
      <c r="I48" s="231"/>
      <c r="J48" s="242"/>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row>
    <row r="49" spans="1:10" ht="32.25" customHeight="1">
      <c r="A49" s="367"/>
      <c r="B49" s="360"/>
      <c r="C49" s="362"/>
      <c r="D49" s="214"/>
      <c r="E49" s="214"/>
      <c r="F49" s="152"/>
      <c r="G49" s="230"/>
      <c r="H49" s="162"/>
      <c r="I49" s="207"/>
      <c r="J49" s="235"/>
    </row>
    <row r="50" spans="1:114" s="245" customFormat="1" ht="19.5" customHeight="1">
      <c r="A50" s="229" t="s">
        <v>20</v>
      </c>
      <c r="B50" s="238">
        <f>B48</f>
        <v>880</v>
      </c>
      <c r="C50" s="216"/>
      <c r="D50" s="220">
        <f>D49+D48</f>
        <v>0</v>
      </c>
      <c r="E50" s="286"/>
      <c r="F50" s="250">
        <f>F49</f>
        <v>0</v>
      </c>
      <c r="G50" s="240"/>
      <c r="H50" s="231">
        <f>SUM(H48:H49)</f>
        <v>0</v>
      </c>
      <c r="I50" s="231"/>
      <c r="J50" s="242"/>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row>
    <row r="51" spans="1:114" s="245" customFormat="1" ht="27.75" customHeight="1">
      <c r="A51" s="366" t="s">
        <v>15</v>
      </c>
      <c r="B51" s="359">
        <f>9699+350+800</f>
        <v>10849</v>
      </c>
      <c r="C51" s="361" t="s">
        <v>359</v>
      </c>
      <c r="D51" s="261"/>
      <c r="E51" s="276"/>
      <c r="F51" s="250"/>
      <c r="G51" s="240"/>
      <c r="H51" s="231"/>
      <c r="I51" s="231"/>
      <c r="J51" s="242"/>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row>
    <row r="52" spans="1:10" ht="23.25" customHeight="1">
      <c r="A52" s="367"/>
      <c r="B52" s="360"/>
      <c r="C52" s="362"/>
      <c r="D52" s="214"/>
      <c r="E52" s="214"/>
      <c r="F52" s="152"/>
      <c r="G52" s="230"/>
      <c r="H52" s="207"/>
      <c r="I52" s="207"/>
      <c r="J52" s="235"/>
    </row>
    <row r="53" spans="1:114" s="245" customFormat="1" ht="21.75" customHeight="1">
      <c r="A53" s="229" t="s">
        <v>20</v>
      </c>
      <c r="B53" s="238">
        <f>SUM(B51:B51)</f>
        <v>10849</v>
      </c>
      <c r="C53" s="215"/>
      <c r="D53" s="220">
        <f>D52+D51</f>
        <v>0</v>
      </c>
      <c r="E53" s="262"/>
      <c r="F53" s="250"/>
      <c r="G53" s="240"/>
      <c r="H53" s="231">
        <f>SUM(H51:H52)</f>
        <v>0</v>
      </c>
      <c r="I53" s="231"/>
      <c r="J53" s="242"/>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row>
    <row r="54" spans="1:114" s="245" customFormat="1" ht="31.5" customHeight="1">
      <c r="A54" s="366" t="s">
        <v>16</v>
      </c>
      <c r="B54" s="359">
        <f>6621.99+3220.95+4500+1624.6+3445</f>
        <v>19412.54</v>
      </c>
      <c r="C54" s="361" t="s">
        <v>347</v>
      </c>
      <c r="D54" s="261"/>
      <c r="E54" s="276"/>
      <c r="F54" s="152"/>
      <c r="G54" s="230"/>
      <c r="H54" s="207"/>
      <c r="I54" s="207"/>
      <c r="J54" s="242"/>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row>
    <row r="55" spans="1:10" ht="23.25" customHeight="1">
      <c r="A55" s="367"/>
      <c r="B55" s="360"/>
      <c r="C55" s="375"/>
      <c r="D55" s="214"/>
      <c r="E55" s="214"/>
      <c r="F55" s="152"/>
      <c r="G55" s="230"/>
      <c r="H55" s="207"/>
      <c r="I55" s="207"/>
      <c r="J55" s="235"/>
    </row>
    <row r="56" spans="1:114" s="245" customFormat="1" ht="30" customHeight="1">
      <c r="A56" s="229" t="s">
        <v>20</v>
      </c>
      <c r="B56" s="252">
        <f>SUM(B54:B54)</f>
        <v>19412.54</v>
      </c>
      <c r="C56" s="362"/>
      <c r="D56" s="220">
        <f>D55+D54</f>
        <v>0</v>
      </c>
      <c r="E56" s="262"/>
      <c r="F56" s="250">
        <f>F55+F54</f>
        <v>0</v>
      </c>
      <c r="G56" s="240"/>
      <c r="H56" s="231">
        <f>SUM(H54:H55)</f>
        <v>0</v>
      </c>
      <c r="I56" s="231"/>
      <c r="J56" s="242"/>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row>
    <row r="57" spans="1:114" s="245" customFormat="1" ht="13.5" customHeight="1">
      <c r="A57" s="366" t="s">
        <v>17</v>
      </c>
      <c r="B57" s="359">
        <v>450</v>
      </c>
      <c r="C57" s="361" t="s">
        <v>360</v>
      </c>
      <c r="D57" s="261"/>
      <c r="E57" s="276"/>
      <c r="F57" s="250"/>
      <c r="G57" s="240"/>
      <c r="H57" s="231"/>
      <c r="I57" s="231"/>
      <c r="J57" s="242"/>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row>
    <row r="58" spans="1:10" ht="23.25" customHeight="1">
      <c r="A58" s="367"/>
      <c r="B58" s="360"/>
      <c r="C58" s="362"/>
      <c r="D58" s="214"/>
      <c r="E58" s="214"/>
      <c r="F58" s="152"/>
      <c r="G58" s="230"/>
      <c r="H58" s="207"/>
      <c r="I58" s="207"/>
      <c r="J58" s="235"/>
    </row>
    <row r="59" spans="1:114" s="245" customFormat="1" ht="24.75" customHeight="1">
      <c r="A59" s="229" t="s">
        <v>20</v>
      </c>
      <c r="B59" s="238">
        <f>SUM(B57:B57)</f>
        <v>450</v>
      </c>
      <c r="C59" s="303"/>
      <c r="D59" s="220">
        <f>D58+D57</f>
        <v>0</v>
      </c>
      <c r="E59" s="286"/>
      <c r="F59" s="250"/>
      <c r="G59" s="240"/>
      <c r="H59" s="231">
        <f>SUM(H57:H58)</f>
        <v>0</v>
      </c>
      <c r="I59" s="231"/>
      <c r="J59" s="242"/>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row>
    <row r="60" spans="1:114" s="245" customFormat="1" ht="15" customHeight="1">
      <c r="A60" s="366" t="s">
        <v>18</v>
      </c>
      <c r="B60" s="359">
        <v>690</v>
      </c>
      <c r="C60" s="361" t="s">
        <v>360</v>
      </c>
      <c r="D60" s="214"/>
      <c r="E60" s="214"/>
      <c r="F60" s="250"/>
      <c r="G60" s="240"/>
      <c r="H60" s="207"/>
      <c r="I60" s="207"/>
      <c r="J60" s="242"/>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row>
    <row r="61" spans="1:10" ht="27" customHeight="1">
      <c r="A61" s="367"/>
      <c r="B61" s="360"/>
      <c r="C61" s="362"/>
      <c r="D61" s="280"/>
      <c r="E61" s="261"/>
      <c r="F61" s="152"/>
      <c r="G61" s="230"/>
      <c r="H61" s="207"/>
      <c r="I61" s="207"/>
      <c r="J61" s="235"/>
    </row>
    <row r="62" spans="1:10" ht="21.75" customHeight="1" thickBot="1">
      <c r="A62" s="229" t="s">
        <v>20</v>
      </c>
      <c r="B62" s="238">
        <f>SUM(B60:B60)</f>
        <v>690</v>
      </c>
      <c r="C62" s="303"/>
      <c r="D62" s="220">
        <f>D61+D60</f>
        <v>0</v>
      </c>
      <c r="E62" s="286"/>
      <c r="F62" s="250">
        <f>F61</f>
        <v>0</v>
      </c>
      <c r="G62" s="230"/>
      <c r="H62" s="231">
        <f>SUM(H60:H61)</f>
        <v>0</v>
      </c>
      <c r="I62" s="207"/>
      <c r="J62" s="235"/>
    </row>
    <row r="63" spans="1:114" s="258" customFormat="1" ht="39" customHeight="1" thickBot="1">
      <c r="A63" s="253" t="s">
        <v>68</v>
      </c>
      <c r="B63" s="220">
        <f>SUM(B14+B17+B19+B22+B25+B29+B32+B35+B38+B41+B44+B47+B50+B53+B56+B59+B62)</f>
        <v>118945.21000000002</v>
      </c>
      <c r="C63" s="147"/>
      <c r="D63" s="254">
        <f>D62+D59+D56+D53+D50+D47+D44+D41+D38+D35+D32+D29+D25+D22+D19+D17+D14</f>
        <v>4</v>
      </c>
      <c r="E63" s="221"/>
      <c r="F63" s="255">
        <f>F50+F62+F19+F56</f>
        <v>0</v>
      </c>
      <c r="G63" s="148"/>
      <c r="H63" s="160">
        <f>H14+H17+H19+H22+H25+H29+H32+H35+H38+H41+H44+H47+H50+H53+H56+H59+H62</f>
        <v>0</v>
      </c>
      <c r="I63" s="161"/>
      <c r="J63" s="256"/>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257"/>
      <c r="DD63" s="257"/>
      <c r="DE63" s="257"/>
      <c r="DF63" s="257"/>
      <c r="DG63" s="257"/>
      <c r="DH63" s="257"/>
      <c r="DI63" s="257"/>
      <c r="DJ63" s="257"/>
    </row>
    <row r="64" spans="1:10" s="257" customFormat="1" ht="15" customHeight="1">
      <c r="A64" s="376" t="s">
        <v>41</v>
      </c>
      <c r="B64" s="359"/>
      <c r="C64" s="361"/>
      <c r="D64" s="249"/>
      <c r="E64" s="276"/>
      <c r="F64" s="255"/>
      <c r="G64" s="148"/>
      <c r="H64" s="160"/>
      <c r="I64" s="161"/>
      <c r="J64" s="256"/>
    </row>
    <row r="65" spans="1:10" ht="32.25" customHeight="1">
      <c r="A65" s="377"/>
      <c r="B65" s="360"/>
      <c r="C65" s="375"/>
      <c r="D65" s="214"/>
      <c r="E65" s="214"/>
      <c r="F65" s="152"/>
      <c r="G65" s="230"/>
      <c r="H65" s="207"/>
      <c r="I65" s="207"/>
      <c r="J65" s="242"/>
    </row>
    <row r="66" spans="1:114" s="245" customFormat="1" ht="18" customHeight="1">
      <c r="A66" s="229" t="s">
        <v>20</v>
      </c>
      <c r="B66" s="238">
        <f>SUM(B64:B64)</f>
        <v>0</v>
      </c>
      <c r="C66" s="362"/>
      <c r="D66" s="220">
        <f>D65+D64</f>
        <v>0</v>
      </c>
      <c r="E66" s="221"/>
      <c r="F66" s="250">
        <f>F65</f>
        <v>0</v>
      </c>
      <c r="G66" s="240"/>
      <c r="H66" s="159">
        <f>SUM(H64:H65)</f>
        <v>0</v>
      </c>
      <c r="I66" s="231"/>
      <c r="J66" s="242"/>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4"/>
      <c r="CT66" s="244"/>
      <c r="CU66" s="244"/>
      <c r="CV66" s="244"/>
      <c r="CW66" s="244"/>
      <c r="CX66" s="244"/>
      <c r="CY66" s="244"/>
      <c r="CZ66" s="244"/>
      <c r="DA66" s="244"/>
      <c r="DB66" s="244"/>
      <c r="DC66" s="244"/>
      <c r="DD66" s="244"/>
      <c r="DE66" s="244"/>
      <c r="DF66" s="244"/>
      <c r="DG66" s="244"/>
      <c r="DH66" s="244"/>
      <c r="DI66" s="244"/>
      <c r="DJ66" s="244"/>
    </row>
    <row r="67" spans="1:114" s="245" customFormat="1" ht="21" customHeight="1">
      <c r="A67" s="376" t="s">
        <v>56</v>
      </c>
      <c r="B67" s="359"/>
      <c r="C67" s="361"/>
      <c r="D67" s="214"/>
      <c r="E67" s="214"/>
      <c r="F67" s="250"/>
      <c r="G67" s="240"/>
      <c r="H67" s="207"/>
      <c r="I67" s="207"/>
      <c r="J67" s="242"/>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row>
    <row r="68" spans="1:10" ht="26.25" customHeight="1">
      <c r="A68" s="377"/>
      <c r="B68" s="360"/>
      <c r="C68" s="375"/>
      <c r="D68" s="261"/>
      <c r="E68" s="261"/>
      <c r="F68" s="152"/>
      <c r="G68" s="230"/>
      <c r="H68" s="231"/>
      <c r="I68" s="231"/>
      <c r="J68" s="242"/>
    </row>
    <row r="69" spans="1:114" s="245" customFormat="1" ht="30.75" customHeight="1">
      <c r="A69" s="229" t="s">
        <v>20</v>
      </c>
      <c r="B69" s="238">
        <f>SUM(B67:B67)</f>
        <v>0</v>
      </c>
      <c r="C69" s="362"/>
      <c r="D69" s="220">
        <f>D68+D67</f>
        <v>0</v>
      </c>
      <c r="E69" s="221"/>
      <c r="F69" s="250">
        <f>F68</f>
        <v>0</v>
      </c>
      <c r="G69" s="240"/>
      <c r="H69" s="231">
        <f>SUM(H67:H68)</f>
        <v>0</v>
      </c>
      <c r="I69" s="231"/>
      <c r="J69" s="242"/>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row>
    <row r="70" spans="1:114" s="245" customFormat="1" ht="35.25" customHeight="1">
      <c r="A70" s="365" t="s">
        <v>329</v>
      </c>
      <c r="B70" s="369"/>
      <c r="C70" s="387"/>
      <c r="D70" s="262">
        <v>4</v>
      </c>
      <c r="E70" s="307" t="s">
        <v>364</v>
      </c>
      <c r="F70" s="383"/>
      <c r="G70" s="376"/>
      <c r="H70" s="162"/>
      <c r="I70" s="213"/>
      <c r="J70" s="242"/>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row>
    <row r="71" spans="1:114" s="245" customFormat="1" ht="24" customHeight="1">
      <c r="A71" s="365"/>
      <c r="B71" s="369"/>
      <c r="C71" s="389"/>
      <c r="D71" s="261"/>
      <c r="E71" s="276"/>
      <c r="F71" s="385"/>
      <c r="G71" s="377"/>
      <c r="H71" s="162"/>
      <c r="I71" s="213"/>
      <c r="J71" s="242"/>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4"/>
      <c r="CT71" s="244"/>
      <c r="CU71" s="244"/>
      <c r="CV71" s="244"/>
      <c r="CW71" s="244"/>
      <c r="CX71" s="244"/>
      <c r="CY71" s="244"/>
      <c r="CZ71" s="244"/>
      <c r="DA71" s="244"/>
      <c r="DB71" s="244"/>
      <c r="DC71" s="244"/>
      <c r="DD71" s="244"/>
      <c r="DE71" s="244"/>
      <c r="DF71" s="244"/>
      <c r="DG71" s="244"/>
      <c r="DH71" s="244"/>
      <c r="DI71" s="244"/>
      <c r="DJ71" s="244"/>
    </row>
    <row r="72" spans="1:114" s="245" customFormat="1" ht="27.75" customHeight="1">
      <c r="A72" s="229" t="s">
        <v>20</v>
      </c>
      <c r="B72" s="238">
        <f>B70</f>
        <v>0</v>
      </c>
      <c r="C72" s="146"/>
      <c r="D72" s="220">
        <f>SUM(D70:D71)</f>
        <v>4</v>
      </c>
      <c r="E72" s="221"/>
      <c r="F72" s="250">
        <f>F70</f>
        <v>0</v>
      </c>
      <c r="G72" s="240"/>
      <c r="H72" s="159">
        <f>SUM(H70:H71)</f>
        <v>0</v>
      </c>
      <c r="I72" s="231"/>
      <c r="J72" s="242"/>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c r="CO72" s="244"/>
      <c r="CP72" s="244"/>
      <c r="CQ72" s="244"/>
      <c r="CR72" s="244"/>
      <c r="CS72" s="244"/>
      <c r="CT72" s="244"/>
      <c r="CU72" s="244"/>
      <c r="CV72" s="244"/>
      <c r="CW72" s="244"/>
      <c r="CX72" s="244"/>
      <c r="CY72" s="244"/>
      <c r="CZ72" s="244"/>
      <c r="DA72" s="244"/>
      <c r="DB72" s="244"/>
      <c r="DC72" s="244"/>
      <c r="DD72" s="244"/>
      <c r="DE72" s="244"/>
      <c r="DF72" s="244"/>
      <c r="DG72" s="244"/>
      <c r="DH72" s="244"/>
      <c r="DI72" s="244"/>
      <c r="DJ72" s="244"/>
    </row>
    <row r="73" spans="1:114" s="245" customFormat="1" ht="24" customHeight="1">
      <c r="A73" s="366" t="s">
        <v>38</v>
      </c>
      <c r="B73" s="359"/>
      <c r="C73" s="233"/>
      <c r="D73" s="214"/>
      <c r="E73" s="214"/>
      <c r="F73" s="383"/>
      <c r="G73" s="376"/>
      <c r="H73" s="159"/>
      <c r="I73" s="231"/>
      <c r="J73" s="242"/>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c r="CO73" s="244"/>
      <c r="CP73" s="244"/>
      <c r="CQ73" s="244"/>
      <c r="CR73" s="244"/>
      <c r="CS73" s="244"/>
      <c r="CT73" s="244"/>
      <c r="CU73" s="244"/>
      <c r="CV73" s="244"/>
      <c r="CW73" s="244"/>
      <c r="CX73" s="244"/>
      <c r="CY73" s="244"/>
      <c r="CZ73" s="244"/>
      <c r="DA73" s="244"/>
      <c r="DB73" s="244"/>
      <c r="DC73" s="244"/>
      <c r="DD73" s="244"/>
      <c r="DE73" s="244"/>
      <c r="DF73" s="244"/>
      <c r="DG73" s="244"/>
      <c r="DH73" s="244"/>
      <c r="DI73" s="244"/>
      <c r="DJ73" s="244"/>
    </row>
    <row r="74" spans="1:114" s="245" customFormat="1" ht="21.75" customHeight="1">
      <c r="A74" s="372"/>
      <c r="B74" s="373"/>
      <c r="C74" s="418"/>
      <c r="D74" s="261"/>
      <c r="E74" s="276"/>
      <c r="F74" s="384"/>
      <c r="G74" s="386"/>
      <c r="H74" s="207"/>
      <c r="I74" s="207"/>
      <c r="J74" s="242"/>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4"/>
      <c r="DF74" s="244"/>
      <c r="DG74" s="244"/>
      <c r="DH74" s="244"/>
      <c r="DI74" s="244"/>
      <c r="DJ74" s="244"/>
    </row>
    <row r="75" spans="1:9" ht="2.25" customHeight="1" hidden="1">
      <c r="A75" s="367"/>
      <c r="B75" s="360"/>
      <c r="C75" s="419"/>
      <c r="D75" s="261"/>
      <c r="E75" s="287"/>
      <c r="F75" s="385"/>
      <c r="G75" s="377"/>
      <c r="H75" s="259"/>
      <c r="I75" s="207"/>
    </row>
    <row r="76" spans="1:114" s="245" customFormat="1" ht="19.5" customHeight="1">
      <c r="A76" s="229" t="s">
        <v>20</v>
      </c>
      <c r="B76" s="238">
        <f>SUM(B73:B73)</f>
        <v>0</v>
      </c>
      <c r="C76" s="146"/>
      <c r="D76" s="220">
        <f>SUM(D73:D75)</f>
        <v>0</v>
      </c>
      <c r="E76" s="288"/>
      <c r="F76" s="250">
        <f>F73</f>
        <v>0</v>
      </c>
      <c r="G76" s="240"/>
      <c r="H76" s="158">
        <f>SUM(H74:H75)</f>
        <v>0</v>
      </c>
      <c r="I76" s="231"/>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c r="CO76" s="244"/>
      <c r="CP76" s="244"/>
      <c r="CQ76" s="244"/>
      <c r="CR76" s="244"/>
      <c r="CS76" s="244"/>
      <c r="CT76" s="244"/>
      <c r="CU76" s="244"/>
      <c r="CV76" s="244"/>
      <c r="CW76" s="244"/>
      <c r="CX76" s="244"/>
      <c r="CY76" s="244"/>
      <c r="CZ76" s="244"/>
      <c r="DA76" s="244"/>
      <c r="DB76" s="244"/>
      <c r="DC76" s="244"/>
      <c r="DD76" s="244"/>
      <c r="DE76" s="244"/>
      <c r="DF76" s="244"/>
      <c r="DG76" s="244"/>
      <c r="DH76" s="244"/>
      <c r="DI76" s="244"/>
      <c r="DJ76" s="244"/>
    </row>
    <row r="77" spans="1:114" s="245" customFormat="1" ht="24" customHeight="1">
      <c r="A77" s="366" t="s">
        <v>322</v>
      </c>
      <c r="B77" s="359"/>
      <c r="C77" s="387"/>
      <c r="D77" s="287"/>
      <c r="E77" s="214"/>
      <c r="F77" s="383"/>
      <c r="G77" s="376"/>
      <c r="H77" s="158"/>
      <c r="I77" s="231"/>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c r="CO77" s="244"/>
      <c r="CP77" s="244"/>
      <c r="CQ77" s="244"/>
      <c r="CR77" s="244"/>
      <c r="CS77" s="244"/>
      <c r="CT77" s="244"/>
      <c r="CU77" s="244"/>
      <c r="CV77" s="244"/>
      <c r="CW77" s="244"/>
      <c r="CX77" s="244"/>
      <c r="CY77" s="244"/>
      <c r="CZ77" s="244"/>
      <c r="DA77" s="244"/>
      <c r="DB77" s="244"/>
      <c r="DC77" s="244"/>
      <c r="DD77" s="244"/>
      <c r="DE77" s="244"/>
      <c r="DF77" s="244"/>
      <c r="DG77" s="244"/>
      <c r="DH77" s="244"/>
      <c r="DI77" s="244"/>
      <c r="DJ77" s="244"/>
    </row>
    <row r="78" spans="1:114" s="245" customFormat="1" ht="21.75" customHeight="1">
      <c r="A78" s="367"/>
      <c r="B78" s="360"/>
      <c r="C78" s="389"/>
      <c r="D78" s="261"/>
      <c r="E78" s="287"/>
      <c r="F78" s="385"/>
      <c r="G78" s="377"/>
      <c r="H78" s="260"/>
      <c r="I78" s="260"/>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DE78" s="244"/>
      <c r="DF78" s="244"/>
      <c r="DG78" s="244"/>
      <c r="DH78" s="244"/>
      <c r="DI78" s="244"/>
      <c r="DJ78" s="244"/>
    </row>
    <row r="79" spans="1:114" s="245" customFormat="1" ht="26.25" customHeight="1">
      <c r="A79" s="229" t="s">
        <v>20</v>
      </c>
      <c r="B79" s="238">
        <f>SUM(B77:B78)</f>
        <v>0</v>
      </c>
      <c r="C79" s="147"/>
      <c r="D79" s="221">
        <f>SUM(D77:D78)</f>
        <v>0</v>
      </c>
      <c r="E79" s="221"/>
      <c r="F79" s="160">
        <f>F77</f>
        <v>0</v>
      </c>
      <c r="G79" s="240"/>
      <c r="H79" s="158">
        <f>SUM(H77:H78)</f>
        <v>0</v>
      </c>
      <c r="I79" s="231"/>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c r="CO79" s="244"/>
      <c r="CP79" s="244"/>
      <c r="CQ79" s="244"/>
      <c r="CR79" s="244"/>
      <c r="CS79" s="244"/>
      <c r="CT79" s="244"/>
      <c r="CU79" s="244"/>
      <c r="CV79" s="244"/>
      <c r="CW79" s="244"/>
      <c r="CX79" s="244"/>
      <c r="CY79" s="244"/>
      <c r="CZ79" s="244"/>
      <c r="DA79" s="244"/>
      <c r="DB79" s="244"/>
      <c r="DC79" s="244"/>
      <c r="DD79" s="244"/>
      <c r="DE79" s="244"/>
      <c r="DF79" s="244"/>
      <c r="DG79" s="244"/>
      <c r="DH79" s="244"/>
      <c r="DI79" s="244"/>
      <c r="DJ79" s="244"/>
    </row>
    <row r="80" spans="1:114" s="245" customFormat="1" ht="19.5" customHeight="1">
      <c r="A80" s="366" t="s">
        <v>321</v>
      </c>
      <c r="B80" s="390"/>
      <c r="C80" s="409"/>
      <c r="D80" s="287"/>
      <c r="E80" s="214"/>
      <c r="F80" s="393"/>
      <c r="G80" s="376"/>
      <c r="H80" s="259"/>
      <c r="I80" s="207"/>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c r="CO80" s="244"/>
      <c r="CP80" s="244"/>
      <c r="CQ80" s="244"/>
      <c r="CR80" s="244"/>
      <c r="CS80" s="244"/>
      <c r="CT80" s="244"/>
      <c r="CU80" s="244"/>
      <c r="CV80" s="244"/>
      <c r="CW80" s="244"/>
      <c r="CX80" s="244"/>
      <c r="CY80" s="244"/>
      <c r="CZ80" s="244"/>
      <c r="DA80" s="244"/>
      <c r="DB80" s="244"/>
      <c r="DC80" s="244"/>
      <c r="DD80" s="244"/>
      <c r="DE80" s="244"/>
      <c r="DF80" s="244"/>
      <c r="DG80" s="244"/>
      <c r="DH80" s="244"/>
      <c r="DI80" s="244"/>
      <c r="DJ80" s="244"/>
    </row>
    <row r="81" spans="1:114" s="245" customFormat="1" ht="17.25" customHeight="1">
      <c r="A81" s="372"/>
      <c r="B81" s="391"/>
      <c r="C81" s="410"/>
      <c r="D81" s="262"/>
      <c r="E81" s="276"/>
      <c r="F81" s="394"/>
      <c r="G81" s="386"/>
      <c r="H81" s="259"/>
      <c r="I81" s="207"/>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row>
    <row r="82" spans="1:114" s="245" customFormat="1" ht="16.5" customHeight="1">
      <c r="A82" s="367"/>
      <c r="B82" s="392"/>
      <c r="C82" s="215"/>
      <c r="D82" s="261"/>
      <c r="E82" s="262"/>
      <c r="F82" s="395"/>
      <c r="G82" s="377"/>
      <c r="H82" s="158"/>
      <c r="I82" s="231"/>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row>
    <row r="83" spans="1:114" s="245" customFormat="1" ht="24" customHeight="1">
      <c r="A83" s="229" t="s">
        <v>20</v>
      </c>
      <c r="B83" s="238">
        <f>SUM(B80:B82)</f>
        <v>0</v>
      </c>
      <c r="C83" s="147"/>
      <c r="D83" s="220">
        <f>D82+D80+D81</f>
        <v>0</v>
      </c>
      <c r="E83" s="221"/>
      <c r="F83" s="160">
        <f>F80</f>
        <v>0</v>
      </c>
      <c r="G83" s="240"/>
      <c r="H83" s="158">
        <f>SUM(H80:H82)</f>
        <v>0</v>
      </c>
      <c r="I83" s="231"/>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c r="CO83" s="244"/>
      <c r="CP83" s="244"/>
      <c r="CQ83" s="244"/>
      <c r="CR83" s="244"/>
      <c r="CS83" s="244"/>
      <c r="CT83" s="244"/>
      <c r="CU83" s="244"/>
      <c r="CV83" s="244"/>
      <c r="CW83" s="244"/>
      <c r="CX83" s="244"/>
      <c r="CY83" s="244"/>
      <c r="CZ83" s="244"/>
      <c r="DA83" s="244"/>
      <c r="DB83" s="244"/>
      <c r="DC83" s="244"/>
      <c r="DD83" s="244"/>
      <c r="DE83" s="244"/>
      <c r="DF83" s="244"/>
      <c r="DG83" s="244"/>
      <c r="DH83" s="244"/>
      <c r="DI83" s="244"/>
      <c r="DJ83" s="244"/>
    </row>
    <row r="84" spans="1:9" ht="14.25" customHeight="1">
      <c r="A84" s="366" t="s">
        <v>29</v>
      </c>
      <c r="B84" s="359">
        <v>415</v>
      </c>
      <c r="C84" s="370" t="s">
        <v>36</v>
      </c>
      <c r="D84" s="262"/>
      <c r="E84" s="261"/>
      <c r="F84" s="396"/>
      <c r="G84" s="376"/>
      <c r="H84" s="152"/>
      <c r="I84" s="207"/>
    </row>
    <row r="85" spans="1:9" ht="39.75" customHeight="1">
      <c r="A85" s="367"/>
      <c r="B85" s="360"/>
      <c r="C85" s="370"/>
      <c r="D85" s="262">
        <v>4</v>
      </c>
      <c r="E85" s="307" t="s">
        <v>364</v>
      </c>
      <c r="F85" s="398"/>
      <c r="G85" s="377"/>
      <c r="H85" s="152"/>
      <c r="I85" s="207"/>
    </row>
    <row r="86" spans="1:114" s="245" customFormat="1" ht="22.5" customHeight="1">
      <c r="A86" s="229" t="s">
        <v>20</v>
      </c>
      <c r="B86" s="252">
        <f>SUM(B84:B84)</f>
        <v>415</v>
      </c>
      <c r="C86" s="370"/>
      <c r="D86" s="220">
        <f>D85+D84</f>
        <v>4</v>
      </c>
      <c r="E86" s="221"/>
      <c r="F86" s="160">
        <f>F84</f>
        <v>0</v>
      </c>
      <c r="G86" s="240"/>
      <c r="H86" s="250">
        <f>H84</f>
        <v>0</v>
      </c>
      <c r="I86" s="231"/>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row>
    <row r="87" spans="1:114" s="245" customFormat="1" ht="174.75" customHeight="1" hidden="1">
      <c r="A87" s="229" t="s">
        <v>20</v>
      </c>
      <c r="B87" s="238">
        <f>SUM(B84:B86)</f>
        <v>830</v>
      </c>
      <c r="C87" s="146"/>
      <c r="D87" s="221"/>
      <c r="E87" s="220"/>
      <c r="F87" s="159"/>
      <c r="G87" s="240"/>
      <c r="H87" s="158"/>
      <c r="I87" s="158"/>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c r="CO87" s="244"/>
      <c r="CP87" s="244"/>
      <c r="CQ87" s="244"/>
      <c r="CR87" s="244"/>
      <c r="CS87" s="244"/>
      <c r="CT87" s="244"/>
      <c r="CU87" s="244"/>
      <c r="CV87" s="244"/>
      <c r="CW87" s="244"/>
      <c r="CX87" s="244"/>
      <c r="CY87" s="244"/>
      <c r="CZ87" s="244"/>
      <c r="DA87" s="244"/>
      <c r="DB87" s="244"/>
      <c r="DC87" s="244"/>
      <c r="DD87" s="244"/>
      <c r="DE87" s="244"/>
      <c r="DF87" s="244"/>
      <c r="DG87" s="244"/>
      <c r="DH87" s="244"/>
      <c r="DI87" s="244"/>
      <c r="DJ87" s="244"/>
    </row>
    <row r="88" spans="1:114" s="245" customFormat="1" ht="16.5" customHeight="1" hidden="1">
      <c r="A88" s="263" t="s">
        <v>37</v>
      </c>
      <c r="B88" s="264">
        <v>10999</v>
      </c>
      <c r="C88" s="215" t="s">
        <v>52</v>
      </c>
      <c r="D88" s="221"/>
      <c r="E88" s="220"/>
      <c r="F88" s="159"/>
      <c r="G88" s="240"/>
      <c r="H88" s="158"/>
      <c r="I88" s="158"/>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4"/>
    </row>
    <row r="89" spans="1:9" ht="17.25" customHeight="1" hidden="1">
      <c r="A89" s="263" t="s">
        <v>37</v>
      </c>
      <c r="B89" s="264">
        <v>1219</v>
      </c>
      <c r="C89" s="215" t="s">
        <v>43</v>
      </c>
      <c r="D89" s="262"/>
      <c r="E89" s="220"/>
      <c r="F89" s="162"/>
      <c r="G89" s="230"/>
      <c r="H89" s="259"/>
      <c r="I89" s="207"/>
    </row>
    <row r="90" spans="1:114" s="245" customFormat="1" ht="16.5" customHeight="1" hidden="1">
      <c r="A90" s="229" t="s">
        <v>20</v>
      </c>
      <c r="B90" s="238">
        <f>SUM(B88:B89)</f>
        <v>12218</v>
      </c>
      <c r="C90" s="146"/>
      <c r="D90" s="221"/>
      <c r="E90" s="220"/>
      <c r="F90" s="159"/>
      <c r="G90" s="240"/>
      <c r="H90" s="158"/>
      <c r="I90" s="158"/>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row>
    <row r="91" spans="1:114" s="245" customFormat="1" ht="16.5" customHeight="1" hidden="1">
      <c r="A91" s="263" t="s">
        <v>30</v>
      </c>
      <c r="B91" s="261">
        <v>3133</v>
      </c>
      <c r="C91" s="215" t="s">
        <v>44</v>
      </c>
      <c r="D91" s="262"/>
      <c r="E91" s="220"/>
      <c r="F91" s="159"/>
      <c r="G91" s="240"/>
      <c r="H91" s="158"/>
      <c r="I91" s="158"/>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row>
    <row r="92" spans="1:114" s="245" customFormat="1" ht="18.75" customHeight="1" hidden="1">
      <c r="A92" s="263" t="s">
        <v>30</v>
      </c>
      <c r="B92" s="261">
        <v>120</v>
      </c>
      <c r="C92" s="215" t="s">
        <v>36</v>
      </c>
      <c r="D92" s="262"/>
      <c r="E92" s="220"/>
      <c r="F92" s="159"/>
      <c r="G92" s="240"/>
      <c r="H92" s="158"/>
      <c r="I92" s="158"/>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row>
    <row r="93" spans="1:114" s="245" customFormat="1" ht="18.75" customHeight="1" hidden="1">
      <c r="A93" s="263" t="s">
        <v>30</v>
      </c>
      <c r="B93" s="261">
        <v>210</v>
      </c>
      <c r="C93" s="215" t="s">
        <v>36</v>
      </c>
      <c r="D93" s="262"/>
      <c r="E93" s="220"/>
      <c r="F93" s="159"/>
      <c r="G93" s="240"/>
      <c r="H93" s="158"/>
      <c r="I93" s="158"/>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4"/>
    </row>
    <row r="94" spans="1:114" s="245" customFormat="1" ht="16.5" customHeight="1" hidden="1">
      <c r="A94" s="229" t="s">
        <v>20</v>
      </c>
      <c r="B94" s="220">
        <f>SUM(B91:B93)</f>
        <v>3463</v>
      </c>
      <c r="C94" s="146"/>
      <c r="D94" s="221"/>
      <c r="E94" s="220"/>
      <c r="F94" s="159"/>
      <c r="G94" s="240"/>
      <c r="H94" s="158"/>
      <c r="I94" s="158"/>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4"/>
    </row>
    <row r="95" spans="1:114" s="245" customFormat="1" ht="17.25" customHeight="1" hidden="1">
      <c r="A95" s="263" t="s">
        <v>31</v>
      </c>
      <c r="B95" s="265">
        <v>60</v>
      </c>
      <c r="C95" s="215" t="s">
        <v>48</v>
      </c>
      <c r="D95" s="265">
        <v>149639.87</v>
      </c>
      <c r="E95" s="289" t="s">
        <v>47</v>
      </c>
      <c r="F95" s="156"/>
      <c r="G95" s="240"/>
      <c r="H95" s="263"/>
      <c r="I95" s="158"/>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row>
    <row r="96" spans="1:114" s="245" customFormat="1" ht="17.25" customHeight="1" hidden="1">
      <c r="A96" s="263" t="s">
        <v>31</v>
      </c>
      <c r="B96" s="265">
        <v>3951.33</v>
      </c>
      <c r="C96" s="215" t="s">
        <v>51</v>
      </c>
      <c r="D96" s="265"/>
      <c r="E96" s="289"/>
      <c r="F96" s="156"/>
      <c r="G96" s="240"/>
      <c r="H96" s="263"/>
      <c r="I96" s="158"/>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4"/>
    </row>
    <row r="97" spans="1:9" ht="15.75" customHeight="1">
      <c r="A97" s="366" t="s">
        <v>37</v>
      </c>
      <c r="B97" s="359"/>
      <c r="C97" s="361"/>
      <c r="D97" s="262"/>
      <c r="E97" s="261"/>
      <c r="F97" s="396"/>
      <c r="G97" s="376"/>
      <c r="H97" s="259"/>
      <c r="I97" s="207"/>
    </row>
    <row r="98" spans="1:9" ht="33" customHeight="1">
      <c r="A98" s="367"/>
      <c r="B98" s="360"/>
      <c r="C98" s="375"/>
      <c r="D98" s="262">
        <v>4</v>
      </c>
      <c r="E98" s="307" t="s">
        <v>364</v>
      </c>
      <c r="F98" s="398"/>
      <c r="G98" s="377"/>
      <c r="H98" s="162"/>
      <c r="I98" s="213"/>
    </row>
    <row r="99" spans="1:114" s="245" customFormat="1" ht="25.5" customHeight="1">
      <c r="A99" s="229" t="s">
        <v>20</v>
      </c>
      <c r="B99" s="252">
        <f>SUM(B97:B97)</f>
        <v>0</v>
      </c>
      <c r="C99" s="362"/>
      <c r="D99" s="220">
        <f>SUM(D97:D98)</f>
        <v>4</v>
      </c>
      <c r="E99" s="221"/>
      <c r="F99" s="160">
        <f>F97</f>
        <v>0</v>
      </c>
      <c r="G99" s="240"/>
      <c r="H99" s="158">
        <f>SUM(H97:H98)</f>
        <v>0</v>
      </c>
      <c r="I99" s="231"/>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row>
    <row r="100" spans="1:114" s="245" customFormat="1" ht="24.75" customHeight="1">
      <c r="A100" s="366" t="s">
        <v>30</v>
      </c>
      <c r="B100" s="359"/>
      <c r="C100" s="234"/>
      <c r="D100" s="287"/>
      <c r="E100" s="214"/>
      <c r="F100" s="396"/>
      <c r="G100" s="376"/>
      <c r="H100" s="259"/>
      <c r="I100" s="207"/>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c r="CO100" s="244"/>
      <c r="CP100" s="244"/>
      <c r="CQ100" s="244"/>
      <c r="CR100" s="244"/>
      <c r="CS100" s="244"/>
      <c r="CT100" s="244"/>
      <c r="CU100" s="244"/>
      <c r="CV100" s="244"/>
      <c r="CW100" s="244"/>
      <c r="CX100" s="244"/>
      <c r="CY100" s="244"/>
      <c r="CZ100" s="244"/>
      <c r="DA100" s="244"/>
      <c r="DB100" s="244"/>
      <c r="DC100" s="244"/>
      <c r="DD100" s="244"/>
      <c r="DE100" s="244"/>
      <c r="DF100" s="244"/>
      <c r="DG100" s="244"/>
      <c r="DH100" s="244"/>
      <c r="DI100" s="244"/>
      <c r="DJ100" s="244"/>
    </row>
    <row r="101" spans="1:9" ht="16.5" customHeight="1">
      <c r="A101" s="367"/>
      <c r="B101" s="360"/>
      <c r="C101" s="215"/>
      <c r="D101" s="262"/>
      <c r="E101" s="261"/>
      <c r="F101" s="398"/>
      <c r="G101" s="377"/>
      <c r="H101" s="262"/>
      <c r="I101" s="299"/>
    </row>
    <row r="102" spans="1:114" s="245" customFormat="1" ht="25.5" customHeight="1">
      <c r="A102" s="229" t="s">
        <v>20</v>
      </c>
      <c r="B102" s="238">
        <f>SUM(B100:B100)</f>
        <v>0</v>
      </c>
      <c r="C102" s="147"/>
      <c r="D102" s="220">
        <f>D101+D100</f>
        <v>0</v>
      </c>
      <c r="E102" s="221"/>
      <c r="F102" s="160">
        <f>F100</f>
        <v>0</v>
      </c>
      <c r="G102" s="240"/>
      <c r="H102" s="158">
        <f>SUM(H100:H101)</f>
        <v>0</v>
      </c>
      <c r="I102" s="231"/>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c r="CO102" s="244"/>
      <c r="CP102" s="244"/>
      <c r="CQ102" s="244"/>
      <c r="CR102" s="244"/>
      <c r="CS102" s="244"/>
      <c r="CT102" s="244"/>
      <c r="CU102" s="244"/>
      <c r="CV102" s="244"/>
      <c r="CW102" s="244"/>
      <c r="CX102" s="244"/>
      <c r="CY102" s="244"/>
      <c r="CZ102" s="244"/>
      <c r="DA102" s="244"/>
      <c r="DB102" s="244"/>
      <c r="DC102" s="244"/>
      <c r="DD102" s="244"/>
      <c r="DE102" s="244"/>
      <c r="DF102" s="244"/>
      <c r="DG102" s="244"/>
      <c r="DH102" s="244"/>
      <c r="DI102" s="244"/>
      <c r="DJ102" s="244"/>
    </row>
    <row r="103" spans="1:114" s="245" customFormat="1" ht="27" customHeight="1">
      <c r="A103" s="366" t="s">
        <v>57</v>
      </c>
      <c r="B103" s="359"/>
      <c r="C103" s="409"/>
      <c r="D103" s="287"/>
      <c r="E103" s="214"/>
      <c r="F103" s="396"/>
      <c r="G103" s="376"/>
      <c r="H103" s="259"/>
      <c r="I103" s="207"/>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c r="CO103" s="244"/>
      <c r="CP103" s="244"/>
      <c r="CQ103" s="244"/>
      <c r="CR103" s="244"/>
      <c r="CS103" s="244"/>
      <c r="CT103" s="244"/>
      <c r="CU103" s="244"/>
      <c r="CV103" s="244"/>
      <c r="CW103" s="244"/>
      <c r="CX103" s="244"/>
      <c r="CY103" s="244"/>
      <c r="CZ103" s="244"/>
      <c r="DA103" s="244"/>
      <c r="DB103" s="244"/>
      <c r="DC103" s="244"/>
      <c r="DD103" s="244"/>
      <c r="DE103" s="244"/>
      <c r="DF103" s="244"/>
      <c r="DG103" s="244"/>
      <c r="DH103" s="244"/>
      <c r="DI103" s="244"/>
      <c r="DJ103" s="244"/>
    </row>
    <row r="104" spans="1:9" ht="25.5" customHeight="1">
      <c r="A104" s="367"/>
      <c r="B104" s="360"/>
      <c r="C104" s="410"/>
      <c r="D104" s="262"/>
      <c r="E104" s="261"/>
      <c r="F104" s="398"/>
      <c r="G104" s="377"/>
      <c r="H104" s="259"/>
      <c r="I104" s="207"/>
    </row>
    <row r="105" spans="1:114" s="245" customFormat="1" ht="21" customHeight="1">
      <c r="A105" s="229" t="s">
        <v>20</v>
      </c>
      <c r="B105" s="238">
        <f>SUM(B103:B104)</f>
        <v>0</v>
      </c>
      <c r="C105" s="147"/>
      <c r="D105" s="220">
        <f>D104+D103</f>
        <v>0</v>
      </c>
      <c r="E105" s="221"/>
      <c r="F105" s="160">
        <f>F103</f>
        <v>0</v>
      </c>
      <c r="G105" s="240"/>
      <c r="H105" s="158">
        <f>SUM(H103:H104)</f>
        <v>0</v>
      </c>
      <c r="I105" s="231"/>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row>
    <row r="106" spans="1:114" s="245" customFormat="1" ht="0.75" customHeight="1" hidden="1">
      <c r="A106" s="365" t="s">
        <v>31</v>
      </c>
      <c r="B106" s="369">
        <f>110.7</f>
        <v>110.7</v>
      </c>
      <c r="C106" s="215"/>
      <c r="D106" s="261"/>
      <c r="E106" s="290"/>
      <c r="F106" s="396"/>
      <c r="G106" s="376"/>
      <c r="H106" s="158"/>
      <c r="I106" s="231"/>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row>
    <row r="107" spans="1:114" s="245" customFormat="1" ht="33" customHeight="1">
      <c r="A107" s="365"/>
      <c r="B107" s="369"/>
      <c r="C107" s="366" t="s">
        <v>348</v>
      </c>
      <c r="D107" s="262">
        <v>4</v>
      </c>
      <c r="E107" s="307" t="s">
        <v>364</v>
      </c>
      <c r="F107" s="397"/>
      <c r="G107" s="386"/>
      <c r="H107" s="156"/>
      <c r="I107" s="213"/>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row>
    <row r="108" spans="1:9" ht="17.25" customHeight="1">
      <c r="A108" s="365"/>
      <c r="B108" s="369"/>
      <c r="C108" s="367"/>
      <c r="D108" s="261"/>
      <c r="E108" s="261"/>
      <c r="F108" s="398"/>
      <c r="G108" s="377"/>
      <c r="H108" s="156"/>
      <c r="I108" s="213"/>
    </row>
    <row r="109" spans="1:114" s="245" customFormat="1" ht="24" customHeight="1">
      <c r="A109" s="229" t="s">
        <v>20</v>
      </c>
      <c r="B109" s="252">
        <f>SUM(B106:B106)</f>
        <v>110.7</v>
      </c>
      <c r="C109" s="215"/>
      <c r="D109" s="220">
        <f>D108+D106+D107</f>
        <v>4</v>
      </c>
      <c r="E109" s="262"/>
      <c r="F109" s="160">
        <f>F106</f>
        <v>0</v>
      </c>
      <c r="G109" s="240"/>
      <c r="H109" s="250">
        <f>SUM(H106:H108)</f>
        <v>0</v>
      </c>
      <c r="I109" s="231"/>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row>
    <row r="110" spans="1:114" s="245" customFormat="1" ht="26.25" customHeight="1">
      <c r="A110" s="365" t="s">
        <v>58</v>
      </c>
      <c r="B110" s="359"/>
      <c r="C110" s="361"/>
      <c r="D110" s="261"/>
      <c r="E110" s="262"/>
      <c r="F110" s="393"/>
      <c r="G110" s="376"/>
      <c r="H110" s="259"/>
      <c r="I110" s="207"/>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row>
    <row r="111" spans="1:114" s="245" customFormat="1" ht="15.75" customHeight="1">
      <c r="A111" s="365"/>
      <c r="B111" s="360"/>
      <c r="C111" s="362"/>
      <c r="D111" s="287"/>
      <c r="E111" s="214"/>
      <c r="F111" s="395"/>
      <c r="G111" s="377"/>
      <c r="H111" s="263"/>
      <c r="I111" s="158"/>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c r="CO111" s="244"/>
      <c r="CP111" s="244"/>
      <c r="CQ111" s="244"/>
      <c r="CR111" s="244"/>
      <c r="CS111" s="244"/>
      <c r="CT111" s="244"/>
      <c r="CU111" s="244"/>
      <c r="CV111" s="244"/>
      <c r="CW111" s="244"/>
      <c r="CX111" s="244"/>
      <c r="CY111" s="244"/>
      <c r="CZ111" s="244"/>
      <c r="DA111" s="244"/>
      <c r="DB111" s="244"/>
      <c r="DC111" s="244"/>
      <c r="DD111" s="244"/>
      <c r="DE111" s="244"/>
      <c r="DF111" s="244"/>
      <c r="DG111" s="244"/>
      <c r="DH111" s="244"/>
      <c r="DI111" s="244"/>
      <c r="DJ111" s="244"/>
    </row>
    <row r="112" spans="1:114" s="245" customFormat="1" ht="19.5" customHeight="1">
      <c r="A112" s="229" t="s">
        <v>20</v>
      </c>
      <c r="B112" s="266">
        <f>B110</f>
        <v>0</v>
      </c>
      <c r="C112" s="146"/>
      <c r="D112" s="266">
        <f>SUM(D110:D111)</f>
        <v>0</v>
      </c>
      <c r="E112" s="220"/>
      <c r="F112" s="159">
        <f>F110</f>
        <v>0</v>
      </c>
      <c r="G112" s="240"/>
      <c r="H112" s="158">
        <f>SUM(H110:H111)</f>
        <v>0</v>
      </c>
      <c r="I112" s="158"/>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row>
    <row r="113" spans="1:114" s="245" customFormat="1" ht="22.5" customHeight="1">
      <c r="A113" s="366" t="s">
        <v>320</v>
      </c>
      <c r="B113" s="402"/>
      <c r="C113" s="218"/>
      <c r="D113" s="265"/>
      <c r="E113" s="262"/>
      <c r="F113" s="393"/>
      <c r="G113" s="376"/>
      <c r="H113" s="158"/>
      <c r="I113" s="158"/>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row>
    <row r="114" spans="1:114" s="245" customFormat="1" ht="17.25" customHeight="1">
      <c r="A114" s="372"/>
      <c r="B114" s="403"/>
      <c r="C114" s="361"/>
      <c r="D114" s="291"/>
      <c r="E114" s="214"/>
      <c r="F114" s="394"/>
      <c r="G114" s="386"/>
      <c r="H114" s="263"/>
      <c r="I114" s="207"/>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row>
    <row r="115" spans="1:114" s="245" customFormat="1" ht="14.25" customHeight="1">
      <c r="A115" s="372"/>
      <c r="B115" s="403"/>
      <c r="C115" s="362"/>
      <c r="D115" s="261"/>
      <c r="E115" s="276"/>
      <c r="F115" s="395"/>
      <c r="G115" s="377"/>
      <c r="H115" s="263"/>
      <c r="I115" s="158"/>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row>
    <row r="116" spans="1:114" s="245" customFormat="1" ht="21" customHeight="1">
      <c r="A116" s="229" t="s">
        <v>20</v>
      </c>
      <c r="B116" s="266">
        <f>SUM(B113)</f>
        <v>0</v>
      </c>
      <c r="C116" s="146"/>
      <c r="D116" s="266">
        <f>SUM(D113:D115)</f>
        <v>0</v>
      </c>
      <c r="E116" s="220"/>
      <c r="F116" s="159">
        <f>F113</f>
        <v>0</v>
      </c>
      <c r="G116" s="240"/>
      <c r="H116" s="158">
        <f>SUM(H113:H115)</f>
        <v>0</v>
      </c>
      <c r="I116" s="158"/>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row>
    <row r="117" spans="1:114" s="245" customFormat="1" ht="22.5" customHeight="1">
      <c r="A117" s="365" t="s">
        <v>328</v>
      </c>
      <c r="B117" s="402"/>
      <c r="C117" s="215" t="s">
        <v>339</v>
      </c>
      <c r="D117" s="261">
        <v>2</v>
      </c>
      <c r="E117" s="411" t="s">
        <v>332</v>
      </c>
      <c r="F117" s="393"/>
      <c r="G117" s="376"/>
      <c r="H117" s="261"/>
      <c r="I117" s="299"/>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row>
    <row r="118" spans="1:114" s="245" customFormat="1" ht="17.25" customHeight="1">
      <c r="A118" s="365"/>
      <c r="B118" s="404"/>
      <c r="C118" s="215"/>
      <c r="D118" s="287"/>
      <c r="E118" s="417"/>
      <c r="F118" s="395"/>
      <c r="G118" s="377"/>
      <c r="H118" s="158"/>
      <c r="I118" s="158"/>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row>
    <row r="119" spans="1:114" s="245" customFormat="1" ht="19.5" customHeight="1">
      <c r="A119" s="229" t="s">
        <v>20</v>
      </c>
      <c r="B119" s="220">
        <f>SUM(B117)</f>
        <v>0</v>
      </c>
      <c r="C119" s="146"/>
      <c r="D119" s="221">
        <f>SUM(D117:D118)</f>
        <v>2</v>
      </c>
      <c r="E119" s="412"/>
      <c r="F119" s="159">
        <f>F117</f>
        <v>0</v>
      </c>
      <c r="G119" s="240"/>
      <c r="H119" s="158">
        <f>SUM(H117:H118)</f>
        <v>0</v>
      </c>
      <c r="I119" s="158"/>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row>
    <row r="120" spans="1:114" s="245" customFormat="1" ht="21" customHeight="1">
      <c r="A120" s="366" t="s">
        <v>59</v>
      </c>
      <c r="B120" s="402"/>
      <c r="C120" s="218"/>
      <c r="D120" s="261"/>
      <c r="E120" s="292"/>
      <c r="F120" s="393"/>
      <c r="G120" s="376"/>
      <c r="H120" s="259"/>
      <c r="I120" s="207"/>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row>
    <row r="121" spans="1:114" s="245" customFormat="1" ht="15" customHeight="1">
      <c r="A121" s="367"/>
      <c r="B121" s="404"/>
      <c r="C121" s="215"/>
      <c r="D121" s="287"/>
      <c r="E121" s="214"/>
      <c r="F121" s="395"/>
      <c r="G121" s="377"/>
      <c r="H121" s="158"/>
      <c r="I121" s="158"/>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c r="CO121" s="244"/>
      <c r="CP121" s="244"/>
      <c r="CQ121" s="244"/>
      <c r="CR121" s="244"/>
      <c r="CS121" s="244"/>
      <c r="CT121" s="244"/>
      <c r="CU121" s="244"/>
      <c r="CV121" s="244"/>
      <c r="CW121" s="244"/>
      <c r="CX121" s="244"/>
      <c r="CY121" s="244"/>
      <c r="CZ121" s="244"/>
      <c r="DA121" s="244"/>
      <c r="DB121" s="244"/>
      <c r="DC121" s="244"/>
      <c r="DD121" s="244"/>
      <c r="DE121" s="244"/>
      <c r="DF121" s="244"/>
      <c r="DG121" s="244"/>
      <c r="DH121" s="244"/>
      <c r="DI121" s="244"/>
      <c r="DJ121" s="244"/>
    </row>
    <row r="122" spans="1:114" s="245" customFormat="1" ht="19.5" customHeight="1">
      <c r="A122" s="229" t="s">
        <v>20</v>
      </c>
      <c r="B122" s="220">
        <f>B120</f>
        <v>0</v>
      </c>
      <c r="C122" s="146"/>
      <c r="D122" s="221">
        <f>D120+D121</f>
        <v>0</v>
      </c>
      <c r="E122" s="261"/>
      <c r="F122" s="159">
        <f>F120</f>
        <v>0</v>
      </c>
      <c r="G122" s="240"/>
      <c r="H122" s="158">
        <f>SUM(H120:H121)</f>
        <v>0</v>
      </c>
      <c r="I122" s="158"/>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c r="CO122" s="244"/>
      <c r="CP122" s="244"/>
      <c r="CQ122" s="244"/>
      <c r="CR122" s="244"/>
      <c r="CS122" s="244"/>
      <c r="CT122" s="244"/>
      <c r="CU122" s="244"/>
      <c r="CV122" s="244"/>
      <c r="CW122" s="244"/>
      <c r="CX122" s="244"/>
      <c r="CY122" s="244"/>
      <c r="CZ122" s="244"/>
      <c r="DA122" s="244"/>
      <c r="DB122" s="244"/>
      <c r="DC122" s="244"/>
      <c r="DD122" s="244"/>
      <c r="DE122" s="244"/>
      <c r="DF122" s="244"/>
      <c r="DG122" s="244"/>
      <c r="DH122" s="244"/>
      <c r="DI122" s="244"/>
      <c r="DJ122" s="244"/>
    </row>
    <row r="123" spans="1:114" s="245" customFormat="1" ht="24" customHeight="1">
      <c r="A123" s="366" t="s">
        <v>323</v>
      </c>
      <c r="B123" s="402"/>
      <c r="C123" s="387"/>
      <c r="D123" s="262"/>
      <c r="E123" s="280"/>
      <c r="F123" s="393"/>
      <c r="G123" s="405"/>
      <c r="H123" s="259"/>
      <c r="I123" s="207"/>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c r="CO123" s="244"/>
      <c r="CP123" s="244"/>
      <c r="CQ123" s="244"/>
      <c r="CR123" s="244"/>
      <c r="CS123" s="244"/>
      <c r="CT123" s="244"/>
      <c r="CU123" s="244"/>
      <c r="CV123" s="244"/>
      <c r="CW123" s="244"/>
      <c r="CX123" s="244"/>
      <c r="CY123" s="244"/>
      <c r="CZ123" s="244"/>
      <c r="DA123" s="244"/>
      <c r="DB123" s="244"/>
      <c r="DC123" s="244"/>
      <c r="DD123" s="244"/>
      <c r="DE123" s="244"/>
      <c r="DF123" s="244"/>
      <c r="DG123" s="244"/>
      <c r="DH123" s="244"/>
      <c r="DI123" s="244"/>
      <c r="DJ123" s="244"/>
    </row>
    <row r="124" spans="1:114" s="245" customFormat="1" ht="16.5" customHeight="1">
      <c r="A124" s="367"/>
      <c r="B124" s="404"/>
      <c r="C124" s="389"/>
      <c r="D124" s="287"/>
      <c r="E124" s="214"/>
      <c r="F124" s="395"/>
      <c r="G124" s="406"/>
      <c r="H124" s="158"/>
      <c r="I124" s="158"/>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c r="CO124" s="244"/>
      <c r="CP124" s="244"/>
      <c r="CQ124" s="244"/>
      <c r="CR124" s="244"/>
      <c r="CS124" s="244"/>
      <c r="CT124" s="244"/>
      <c r="CU124" s="244"/>
      <c r="CV124" s="244"/>
      <c r="CW124" s="244"/>
      <c r="CX124" s="244"/>
      <c r="CY124" s="244"/>
      <c r="CZ124" s="244"/>
      <c r="DA124" s="244"/>
      <c r="DB124" s="244"/>
      <c r="DC124" s="244"/>
      <c r="DD124" s="244"/>
      <c r="DE124" s="244"/>
      <c r="DF124" s="244"/>
      <c r="DG124" s="244"/>
      <c r="DH124" s="244"/>
      <c r="DI124" s="244"/>
      <c r="DJ124" s="244"/>
    </row>
    <row r="125" spans="1:114" s="245" customFormat="1" ht="21.75" customHeight="1">
      <c r="A125" s="229" t="s">
        <v>20</v>
      </c>
      <c r="B125" s="220">
        <f>B123</f>
        <v>0</v>
      </c>
      <c r="C125" s="146"/>
      <c r="D125" s="221">
        <f>D124+D123</f>
        <v>0</v>
      </c>
      <c r="E125" s="261"/>
      <c r="F125" s="159">
        <f>F123</f>
        <v>0</v>
      </c>
      <c r="G125" s="240"/>
      <c r="H125" s="158">
        <f>SUM(H123:H124)</f>
        <v>0</v>
      </c>
      <c r="I125" s="158"/>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row>
    <row r="126" spans="1:114" s="245" customFormat="1" ht="18.75" customHeight="1">
      <c r="A126" s="366" t="s">
        <v>60</v>
      </c>
      <c r="B126" s="402"/>
      <c r="C126" s="219"/>
      <c r="D126" s="287"/>
      <c r="E126" s="214"/>
      <c r="F126" s="393"/>
      <c r="G126" s="376"/>
      <c r="H126" s="261"/>
      <c r="I126" s="299"/>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c r="CO126" s="244"/>
      <c r="CP126" s="244"/>
      <c r="CQ126" s="244"/>
      <c r="CR126" s="244"/>
      <c r="CS126" s="244"/>
      <c r="CT126" s="244"/>
      <c r="CU126" s="244"/>
      <c r="CV126" s="244"/>
      <c r="CW126" s="244"/>
      <c r="CX126" s="244"/>
      <c r="CY126" s="244"/>
      <c r="CZ126" s="244"/>
      <c r="DA126" s="244"/>
      <c r="DB126" s="244"/>
      <c r="DC126" s="244"/>
      <c r="DD126" s="244"/>
      <c r="DE126" s="244"/>
      <c r="DF126" s="244"/>
      <c r="DG126" s="244"/>
      <c r="DH126" s="244"/>
      <c r="DI126" s="244"/>
      <c r="DJ126" s="244"/>
    </row>
    <row r="127" spans="1:114" s="245" customFormat="1" ht="15.75">
      <c r="A127" s="367"/>
      <c r="B127" s="404"/>
      <c r="C127" s="215"/>
      <c r="D127" s="261"/>
      <c r="E127" s="261"/>
      <c r="F127" s="395"/>
      <c r="G127" s="377"/>
      <c r="H127" s="158"/>
      <c r="I127" s="158"/>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row>
    <row r="128" spans="1:114" s="245" customFormat="1" ht="20.25" customHeight="1">
      <c r="A128" s="229" t="s">
        <v>20</v>
      </c>
      <c r="B128" s="220">
        <f>SUM(B126)</f>
        <v>0</v>
      </c>
      <c r="C128" s="146"/>
      <c r="D128" s="221">
        <f>D127+D126</f>
        <v>0</v>
      </c>
      <c r="E128" s="261"/>
      <c r="F128" s="159">
        <f>F126</f>
        <v>0</v>
      </c>
      <c r="G128" s="240"/>
      <c r="H128" s="158">
        <f>SUM(H126:H127)</f>
        <v>0</v>
      </c>
      <c r="I128" s="158"/>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c r="CO128" s="244"/>
      <c r="CP128" s="244"/>
      <c r="CQ128" s="244"/>
      <c r="CR128" s="244"/>
      <c r="CS128" s="244"/>
      <c r="CT128" s="244"/>
      <c r="CU128" s="244"/>
      <c r="CV128" s="244"/>
      <c r="CW128" s="244"/>
      <c r="CX128" s="244"/>
      <c r="CY128" s="244"/>
      <c r="CZ128" s="244"/>
      <c r="DA128" s="244"/>
      <c r="DB128" s="244"/>
      <c r="DC128" s="244"/>
      <c r="DD128" s="244"/>
      <c r="DE128" s="244"/>
      <c r="DF128" s="244"/>
      <c r="DG128" s="244"/>
      <c r="DH128" s="244"/>
      <c r="DI128" s="244"/>
      <c r="DJ128" s="244"/>
    </row>
    <row r="129" spans="1:114" s="245" customFormat="1" ht="20.25" customHeight="1">
      <c r="A129" s="366" t="s">
        <v>61</v>
      </c>
      <c r="B129" s="402"/>
      <c r="C129" s="387"/>
      <c r="D129" s="287"/>
      <c r="E129" s="214"/>
      <c r="F129" s="393"/>
      <c r="G129" s="376"/>
      <c r="H129" s="259"/>
      <c r="I129" s="207"/>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c r="CO129" s="244"/>
      <c r="CP129" s="244"/>
      <c r="CQ129" s="244"/>
      <c r="CR129" s="244"/>
      <c r="CS129" s="244"/>
      <c r="CT129" s="244"/>
      <c r="CU129" s="244"/>
      <c r="CV129" s="244"/>
      <c r="CW129" s="244"/>
      <c r="CX129" s="244"/>
      <c r="CY129" s="244"/>
      <c r="CZ129" s="244"/>
      <c r="DA129" s="244"/>
      <c r="DB129" s="244"/>
      <c r="DC129" s="244"/>
      <c r="DD129" s="244"/>
      <c r="DE129" s="244"/>
      <c r="DF129" s="244"/>
      <c r="DG129" s="244"/>
      <c r="DH129" s="244"/>
      <c r="DI129" s="244"/>
      <c r="DJ129" s="244"/>
    </row>
    <row r="130" spans="1:114" s="245" customFormat="1" ht="0.75" customHeight="1" hidden="1">
      <c r="A130" s="372"/>
      <c r="B130" s="403"/>
      <c r="C130" s="389"/>
      <c r="D130" s="293"/>
      <c r="E130" s="293"/>
      <c r="F130" s="394"/>
      <c r="G130" s="386"/>
      <c r="H130" s="158"/>
      <c r="I130" s="158"/>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row>
    <row r="131" spans="1:114" s="245" customFormat="1" ht="20.25" customHeight="1">
      <c r="A131" s="367"/>
      <c r="B131" s="404"/>
      <c r="C131" s="215"/>
      <c r="D131" s="261"/>
      <c r="E131" s="280"/>
      <c r="F131" s="395"/>
      <c r="G131" s="377"/>
      <c r="H131" s="158"/>
      <c r="I131" s="158"/>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c r="CO131" s="244"/>
      <c r="CP131" s="244"/>
      <c r="CQ131" s="244"/>
      <c r="CR131" s="244"/>
      <c r="CS131" s="244"/>
      <c r="CT131" s="244"/>
      <c r="CU131" s="244"/>
      <c r="CV131" s="244"/>
      <c r="CW131" s="244"/>
      <c r="CX131" s="244"/>
      <c r="CY131" s="244"/>
      <c r="CZ131" s="244"/>
      <c r="DA131" s="244"/>
      <c r="DB131" s="244"/>
      <c r="DC131" s="244"/>
      <c r="DD131" s="244"/>
      <c r="DE131" s="244"/>
      <c r="DF131" s="244"/>
      <c r="DG131" s="244"/>
      <c r="DH131" s="244"/>
      <c r="DI131" s="244"/>
      <c r="DJ131" s="244"/>
    </row>
    <row r="132" spans="1:114" s="245" customFormat="1" ht="19.5" customHeight="1">
      <c r="A132" s="229" t="s">
        <v>20</v>
      </c>
      <c r="B132" s="220">
        <f>SUM(B129)</f>
        <v>0</v>
      </c>
      <c r="C132" s="146"/>
      <c r="D132" s="221">
        <f>SUM(D129:D131)</f>
        <v>0</v>
      </c>
      <c r="E132" s="261"/>
      <c r="F132" s="159">
        <f>F129</f>
        <v>0</v>
      </c>
      <c r="G132" s="240"/>
      <c r="H132" s="158">
        <f>SUM(H129:H131)</f>
        <v>0</v>
      </c>
      <c r="I132" s="158"/>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c r="CO132" s="244"/>
      <c r="CP132" s="244"/>
      <c r="CQ132" s="244"/>
      <c r="CR132" s="244"/>
      <c r="CS132" s="244"/>
      <c r="CT132" s="244"/>
      <c r="CU132" s="244"/>
      <c r="CV132" s="244"/>
      <c r="CW132" s="244"/>
      <c r="CX132" s="244"/>
      <c r="CY132" s="244"/>
      <c r="CZ132" s="244"/>
      <c r="DA132" s="244"/>
      <c r="DB132" s="244"/>
      <c r="DC132" s="244"/>
      <c r="DD132" s="244"/>
      <c r="DE132" s="244"/>
      <c r="DF132" s="244"/>
      <c r="DG132" s="244"/>
      <c r="DH132" s="244"/>
      <c r="DI132" s="244"/>
      <c r="DJ132" s="244"/>
    </row>
    <row r="133" spans="1:114" s="245" customFormat="1" ht="25.5" customHeight="1">
      <c r="A133" s="365" t="s">
        <v>62</v>
      </c>
      <c r="B133" s="408"/>
      <c r="C133" s="217"/>
      <c r="D133" s="287">
        <v>3629.28</v>
      </c>
      <c r="E133" s="411" t="s">
        <v>341</v>
      </c>
      <c r="F133" s="393"/>
      <c r="G133" s="376"/>
      <c r="H133" s="259"/>
      <c r="I133" s="207"/>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4"/>
      <c r="CT133" s="244"/>
      <c r="CU133" s="244"/>
      <c r="CV133" s="244"/>
      <c r="CW133" s="244"/>
      <c r="CX133" s="244"/>
      <c r="CY133" s="244"/>
      <c r="CZ133" s="244"/>
      <c r="DA133" s="244"/>
      <c r="DB133" s="244"/>
      <c r="DC133" s="244"/>
      <c r="DD133" s="244"/>
      <c r="DE133" s="244"/>
      <c r="DF133" s="244"/>
      <c r="DG133" s="244"/>
      <c r="DH133" s="244"/>
      <c r="DI133" s="244"/>
      <c r="DJ133" s="244"/>
    </row>
    <row r="134" spans="1:114" s="245" customFormat="1" ht="19.5" customHeight="1">
      <c r="A134" s="365"/>
      <c r="B134" s="408"/>
      <c r="C134" s="215"/>
      <c r="D134" s="261"/>
      <c r="E134" s="417"/>
      <c r="F134" s="395"/>
      <c r="G134" s="377"/>
      <c r="H134" s="158"/>
      <c r="I134" s="158"/>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4"/>
      <c r="CT134" s="244"/>
      <c r="CU134" s="244"/>
      <c r="CV134" s="244"/>
      <c r="CW134" s="244"/>
      <c r="CX134" s="244"/>
      <c r="CY134" s="244"/>
      <c r="CZ134" s="244"/>
      <c r="DA134" s="244"/>
      <c r="DB134" s="244"/>
      <c r="DC134" s="244"/>
      <c r="DD134" s="244"/>
      <c r="DE134" s="244"/>
      <c r="DF134" s="244"/>
      <c r="DG134" s="244"/>
      <c r="DH134" s="244"/>
      <c r="DI134" s="244"/>
      <c r="DJ134" s="244"/>
    </row>
    <row r="135" spans="1:114" s="245" customFormat="1" ht="21" customHeight="1">
      <c r="A135" s="229" t="s">
        <v>20</v>
      </c>
      <c r="B135" s="220">
        <f>SUM(B133)</f>
        <v>0</v>
      </c>
      <c r="C135" s="146"/>
      <c r="D135" s="221">
        <f>SUM(D133:D134)</f>
        <v>3629.28</v>
      </c>
      <c r="E135" s="412"/>
      <c r="F135" s="159">
        <f>F133</f>
        <v>0</v>
      </c>
      <c r="G135" s="240"/>
      <c r="H135" s="158">
        <f>SUM(H133:H134)</f>
        <v>0</v>
      </c>
      <c r="I135" s="158"/>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row>
    <row r="136" spans="1:114" s="245" customFormat="1" ht="27.75" customHeight="1">
      <c r="A136" s="366" t="s">
        <v>46</v>
      </c>
      <c r="B136" s="402"/>
      <c r="C136" s="218"/>
      <c r="D136" s="261"/>
      <c r="E136" s="280"/>
      <c r="F136" s="393"/>
      <c r="G136" s="376"/>
      <c r="H136" s="259"/>
      <c r="I136" s="207"/>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row>
    <row r="137" spans="1:114" s="245" customFormat="1" ht="18" customHeight="1">
      <c r="A137" s="367"/>
      <c r="B137" s="404"/>
      <c r="C137" s="302"/>
      <c r="D137" s="261"/>
      <c r="E137" s="262"/>
      <c r="F137" s="395"/>
      <c r="G137" s="377"/>
      <c r="H137" s="158"/>
      <c r="I137" s="158"/>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row>
    <row r="138" spans="1:114" s="245" customFormat="1" ht="18.75" customHeight="1">
      <c r="A138" s="229" t="s">
        <v>20</v>
      </c>
      <c r="B138" s="220">
        <f>B136</f>
        <v>0</v>
      </c>
      <c r="C138" s="146"/>
      <c r="D138" s="221">
        <f>D137+D136</f>
        <v>0</v>
      </c>
      <c r="E138" s="220"/>
      <c r="F138" s="159">
        <f>F136</f>
        <v>0</v>
      </c>
      <c r="G138" s="240"/>
      <c r="H138" s="158">
        <f>SUM(H136:H137)</f>
        <v>0</v>
      </c>
      <c r="I138" s="158"/>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row>
    <row r="139" spans="1:114" s="245" customFormat="1" ht="22.5" customHeight="1">
      <c r="A139" s="366" t="s">
        <v>63</v>
      </c>
      <c r="B139" s="402">
        <v>6799</v>
      </c>
      <c r="C139" s="215" t="s">
        <v>340</v>
      </c>
      <c r="D139" s="261">
        <v>1</v>
      </c>
      <c r="E139" s="411" t="s">
        <v>332</v>
      </c>
      <c r="F139" s="393"/>
      <c r="G139" s="376"/>
      <c r="H139" s="158"/>
      <c r="I139" s="158"/>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row>
    <row r="140" spans="1:114" s="245" customFormat="1" ht="18.75" customHeight="1">
      <c r="A140" s="367"/>
      <c r="B140" s="404"/>
      <c r="C140" s="215"/>
      <c r="D140" s="287"/>
      <c r="E140" s="417"/>
      <c r="F140" s="395"/>
      <c r="G140" s="377"/>
      <c r="H140" s="261"/>
      <c r="I140" s="301"/>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row>
    <row r="141" spans="1:114" s="245" customFormat="1" ht="23.25" customHeight="1">
      <c r="A141" s="229" t="s">
        <v>20</v>
      </c>
      <c r="B141" s="220">
        <f>B139</f>
        <v>6799</v>
      </c>
      <c r="C141" s="146"/>
      <c r="D141" s="221">
        <f>D140+D139</f>
        <v>1</v>
      </c>
      <c r="E141" s="412"/>
      <c r="F141" s="159">
        <f>F139</f>
        <v>0</v>
      </c>
      <c r="G141" s="240"/>
      <c r="H141" s="158">
        <f>SUM(H139:H140)</f>
        <v>0</v>
      </c>
      <c r="I141" s="158"/>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c r="CO141" s="244"/>
      <c r="CP141" s="244"/>
      <c r="CQ141" s="244"/>
      <c r="CR141" s="244"/>
      <c r="CS141" s="244"/>
      <c r="CT141" s="244"/>
      <c r="CU141" s="244"/>
      <c r="CV141" s="244"/>
      <c r="CW141" s="244"/>
      <c r="CX141" s="244"/>
      <c r="CY141" s="244"/>
      <c r="CZ141" s="244"/>
      <c r="DA141" s="244"/>
      <c r="DB141" s="244"/>
      <c r="DC141" s="244"/>
      <c r="DD141" s="244"/>
      <c r="DE141" s="244"/>
      <c r="DF141" s="244"/>
      <c r="DG141" s="244"/>
      <c r="DH141" s="244"/>
      <c r="DI141" s="244"/>
      <c r="DJ141" s="244"/>
    </row>
    <row r="142" spans="1:114" s="245" customFormat="1" ht="24" customHeight="1">
      <c r="A142" s="228" t="s">
        <v>111</v>
      </c>
      <c r="B142" s="220"/>
      <c r="C142" s="146"/>
      <c r="D142" s="221"/>
      <c r="E142" s="220"/>
      <c r="F142" s="162"/>
      <c r="G142" s="240"/>
      <c r="H142" s="152"/>
      <c r="I142" s="207"/>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c r="CO142" s="244"/>
      <c r="CP142" s="244"/>
      <c r="CQ142" s="244"/>
      <c r="CR142" s="244"/>
      <c r="CS142" s="244"/>
      <c r="CT142" s="244"/>
      <c r="CU142" s="244"/>
      <c r="CV142" s="244"/>
      <c r="CW142" s="244"/>
      <c r="CX142" s="244"/>
      <c r="CY142" s="244"/>
      <c r="CZ142" s="244"/>
      <c r="DA142" s="244"/>
      <c r="DB142" s="244"/>
      <c r="DC142" s="244"/>
      <c r="DD142" s="244"/>
      <c r="DE142" s="244"/>
      <c r="DF142" s="244"/>
      <c r="DG142" s="244"/>
      <c r="DH142" s="244"/>
      <c r="DI142" s="244"/>
      <c r="DJ142" s="244"/>
    </row>
    <row r="143" spans="1:114" s="245" customFormat="1" ht="23.25" customHeight="1">
      <c r="A143" s="229" t="s">
        <v>20</v>
      </c>
      <c r="B143" s="220">
        <v>0</v>
      </c>
      <c r="C143" s="146"/>
      <c r="D143" s="221">
        <v>0</v>
      </c>
      <c r="E143" s="220"/>
      <c r="F143" s="159">
        <v>0</v>
      </c>
      <c r="G143" s="240"/>
      <c r="H143" s="250">
        <f>SUM(H142)</f>
        <v>0</v>
      </c>
      <c r="I143" s="158"/>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c r="CO143" s="244"/>
      <c r="CP143" s="244"/>
      <c r="CQ143" s="244"/>
      <c r="CR143" s="244"/>
      <c r="CS143" s="244"/>
      <c r="CT143" s="244"/>
      <c r="CU143" s="244"/>
      <c r="CV143" s="244"/>
      <c r="CW143" s="244"/>
      <c r="CX143" s="244"/>
      <c r="CY143" s="244"/>
      <c r="CZ143" s="244"/>
      <c r="DA143" s="244"/>
      <c r="DB143" s="244"/>
      <c r="DC143" s="244"/>
      <c r="DD143" s="244"/>
      <c r="DE143" s="244"/>
      <c r="DF143" s="244"/>
      <c r="DG143" s="244"/>
      <c r="DH143" s="244"/>
      <c r="DI143" s="244"/>
      <c r="DJ143" s="244"/>
    </row>
    <row r="144" spans="1:114" s="245" customFormat="1" ht="21.75" customHeight="1">
      <c r="A144" s="157" t="s">
        <v>272</v>
      </c>
      <c r="B144" s="261"/>
      <c r="C144" s="215"/>
      <c r="D144" s="287"/>
      <c r="E144" s="214"/>
      <c r="F144" s="156"/>
      <c r="G144" s="240"/>
      <c r="H144" s="259"/>
      <c r="I144" s="207"/>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c r="CO144" s="244"/>
      <c r="CP144" s="244"/>
      <c r="CQ144" s="244"/>
      <c r="CR144" s="244"/>
      <c r="CS144" s="244"/>
      <c r="CT144" s="244"/>
      <c r="CU144" s="244"/>
      <c r="CV144" s="244"/>
      <c r="CW144" s="244"/>
      <c r="CX144" s="244"/>
      <c r="CY144" s="244"/>
      <c r="CZ144" s="244"/>
      <c r="DA144" s="244"/>
      <c r="DB144" s="244"/>
      <c r="DC144" s="244"/>
      <c r="DD144" s="244"/>
      <c r="DE144" s="244"/>
      <c r="DF144" s="244"/>
      <c r="DG144" s="244"/>
      <c r="DH144" s="244"/>
      <c r="DI144" s="244"/>
      <c r="DJ144" s="244"/>
    </row>
    <row r="145" spans="1:114" s="245" customFormat="1" ht="24.75" customHeight="1">
      <c r="A145" s="229" t="s">
        <v>20</v>
      </c>
      <c r="B145" s="220">
        <f>B144</f>
        <v>0</v>
      </c>
      <c r="C145" s="146"/>
      <c r="D145" s="221">
        <f>D144</f>
        <v>0</v>
      </c>
      <c r="E145" s="220"/>
      <c r="F145" s="159"/>
      <c r="G145" s="240"/>
      <c r="H145" s="158">
        <f>H144</f>
        <v>0</v>
      </c>
      <c r="I145" s="158"/>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c r="CO145" s="244"/>
      <c r="CP145" s="244"/>
      <c r="CQ145" s="244"/>
      <c r="CR145" s="244"/>
      <c r="CS145" s="244"/>
      <c r="CT145" s="244"/>
      <c r="CU145" s="244"/>
      <c r="CV145" s="244"/>
      <c r="CW145" s="244"/>
      <c r="CX145" s="244"/>
      <c r="CY145" s="244"/>
      <c r="CZ145" s="244"/>
      <c r="DA145" s="244"/>
      <c r="DB145" s="244"/>
      <c r="DC145" s="244"/>
      <c r="DD145" s="244"/>
      <c r="DE145" s="244"/>
      <c r="DF145" s="244"/>
      <c r="DG145" s="244"/>
      <c r="DH145" s="244"/>
      <c r="DI145" s="244"/>
      <c r="DJ145" s="244"/>
    </row>
    <row r="146" spans="1:114" s="245" customFormat="1" ht="72" customHeight="1">
      <c r="A146" s="157" t="s">
        <v>54</v>
      </c>
      <c r="B146" s="261"/>
      <c r="C146" s="215" t="s">
        <v>331</v>
      </c>
      <c r="D146" s="287">
        <v>1</v>
      </c>
      <c r="E146" s="214" t="s">
        <v>332</v>
      </c>
      <c r="F146" s="156"/>
      <c r="G146" s="240"/>
      <c r="H146" s="259"/>
      <c r="I146" s="207"/>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c r="CO146" s="244"/>
      <c r="CP146" s="244"/>
      <c r="CQ146" s="244"/>
      <c r="CR146" s="244"/>
      <c r="CS146" s="244"/>
      <c r="CT146" s="244"/>
      <c r="CU146" s="244"/>
      <c r="CV146" s="244"/>
      <c r="CW146" s="244"/>
      <c r="CX146" s="244"/>
      <c r="CY146" s="244"/>
      <c r="CZ146" s="244"/>
      <c r="DA146" s="244"/>
      <c r="DB146" s="244"/>
      <c r="DC146" s="244"/>
      <c r="DD146" s="244"/>
      <c r="DE146" s="244"/>
      <c r="DF146" s="244"/>
      <c r="DG146" s="244"/>
      <c r="DH146" s="244"/>
      <c r="DI146" s="244"/>
      <c r="DJ146" s="244"/>
    </row>
    <row r="147" spans="1:114" s="245" customFormat="1" ht="20.25" customHeight="1">
      <c r="A147" s="229" t="s">
        <v>20</v>
      </c>
      <c r="B147" s="220">
        <f>B146</f>
        <v>0</v>
      </c>
      <c r="C147" s="146"/>
      <c r="D147" s="221">
        <f>D146</f>
        <v>1</v>
      </c>
      <c r="E147" s="220"/>
      <c r="F147" s="159"/>
      <c r="G147" s="240"/>
      <c r="H147" s="158">
        <f>H146</f>
        <v>0</v>
      </c>
      <c r="I147" s="158"/>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row>
    <row r="148" spans="1:114" s="245" customFormat="1" ht="30.75" customHeight="1">
      <c r="A148" s="157" t="s">
        <v>66</v>
      </c>
      <c r="B148" s="261"/>
      <c r="C148" s="215"/>
      <c r="D148" s="287"/>
      <c r="E148" s="214"/>
      <c r="F148" s="156"/>
      <c r="G148" s="240"/>
      <c r="H148" s="259"/>
      <c r="I148" s="207"/>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row>
    <row r="149" spans="1:114" s="245" customFormat="1" ht="23.25" customHeight="1">
      <c r="A149" s="229" t="s">
        <v>20</v>
      </c>
      <c r="B149" s="220">
        <f>B148</f>
        <v>0</v>
      </c>
      <c r="C149" s="146"/>
      <c r="D149" s="221">
        <f>D148</f>
        <v>0</v>
      </c>
      <c r="E149" s="220"/>
      <c r="F149" s="159"/>
      <c r="G149" s="240"/>
      <c r="H149" s="158">
        <f>H148</f>
        <v>0</v>
      </c>
      <c r="I149" s="158"/>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row>
    <row r="150" spans="1:114" s="245" customFormat="1" ht="36" customHeight="1">
      <c r="A150" s="228" t="s">
        <v>319</v>
      </c>
      <c r="B150" s="220"/>
      <c r="C150" s="146"/>
      <c r="D150" s="287"/>
      <c r="E150" s="214"/>
      <c r="F150" s="159"/>
      <c r="G150" s="240"/>
      <c r="H150" s="259"/>
      <c r="I150" s="207"/>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c r="CO150" s="244"/>
      <c r="CP150" s="244"/>
      <c r="CQ150" s="244"/>
      <c r="CR150" s="244"/>
      <c r="CS150" s="244"/>
      <c r="CT150" s="244"/>
      <c r="CU150" s="244"/>
      <c r="CV150" s="244"/>
      <c r="CW150" s="244"/>
      <c r="CX150" s="244"/>
      <c r="CY150" s="244"/>
      <c r="CZ150" s="244"/>
      <c r="DA150" s="244"/>
      <c r="DB150" s="244"/>
      <c r="DC150" s="244"/>
      <c r="DD150" s="244"/>
      <c r="DE150" s="244"/>
      <c r="DF150" s="244"/>
      <c r="DG150" s="244"/>
      <c r="DH150" s="244"/>
      <c r="DI150" s="244"/>
      <c r="DJ150" s="244"/>
    </row>
    <row r="151" spans="1:114" s="245" customFormat="1" ht="29.25" customHeight="1">
      <c r="A151" s="229" t="s">
        <v>20</v>
      </c>
      <c r="B151" s="220">
        <f>B150</f>
        <v>0</v>
      </c>
      <c r="C151" s="146"/>
      <c r="D151" s="221">
        <f>D150</f>
        <v>0</v>
      </c>
      <c r="E151" s="220"/>
      <c r="F151" s="159"/>
      <c r="G151" s="240"/>
      <c r="H151" s="158">
        <f>H150</f>
        <v>0</v>
      </c>
      <c r="I151" s="158"/>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row>
    <row r="152" spans="1:114" s="245" customFormat="1" ht="84" customHeight="1">
      <c r="A152" s="157" t="s">
        <v>317</v>
      </c>
      <c r="B152" s="261"/>
      <c r="C152" s="215" t="s">
        <v>334</v>
      </c>
      <c r="D152" s="286">
        <v>1600</v>
      </c>
      <c r="E152" s="214" t="s">
        <v>333</v>
      </c>
      <c r="F152" s="156"/>
      <c r="G152" s="240"/>
      <c r="H152" s="259"/>
      <c r="I152" s="207"/>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c r="CO152" s="244"/>
      <c r="CP152" s="244"/>
      <c r="CQ152" s="244"/>
      <c r="CR152" s="244"/>
      <c r="CS152" s="244"/>
      <c r="CT152" s="244"/>
      <c r="CU152" s="244"/>
      <c r="CV152" s="244"/>
      <c r="CW152" s="244"/>
      <c r="CX152" s="244"/>
      <c r="CY152" s="244"/>
      <c r="CZ152" s="244"/>
      <c r="DA152" s="244"/>
      <c r="DB152" s="244"/>
      <c r="DC152" s="244"/>
      <c r="DD152" s="244"/>
      <c r="DE152" s="244"/>
      <c r="DF152" s="244"/>
      <c r="DG152" s="244"/>
      <c r="DH152" s="244"/>
      <c r="DI152" s="244"/>
      <c r="DJ152" s="244"/>
    </row>
    <row r="153" spans="1:114" s="245" customFormat="1" ht="24.75" customHeight="1">
      <c r="A153" s="229" t="s">
        <v>20</v>
      </c>
      <c r="B153" s="220">
        <f>SUM(B152)</f>
        <v>0</v>
      </c>
      <c r="C153" s="146"/>
      <c r="D153" s="221">
        <f>D152</f>
        <v>1600</v>
      </c>
      <c r="E153" s="220"/>
      <c r="F153" s="159"/>
      <c r="G153" s="240"/>
      <c r="H153" s="158">
        <f>H152</f>
        <v>0</v>
      </c>
      <c r="I153" s="158"/>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c r="CO153" s="244"/>
      <c r="CP153" s="244"/>
      <c r="CQ153" s="244"/>
      <c r="CR153" s="244"/>
      <c r="CS153" s="244"/>
      <c r="CT153" s="244"/>
      <c r="CU153" s="244"/>
      <c r="CV153" s="244"/>
      <c r="CW153" s="244"/>
      <c r="CX153" s="244"/>
      <c r="CY153" s="244"/>
      <c r="CZ153" s="244"/>
      <c r="DA153" s="244"/>
      <c r="DB153" s="244"/>
      <c r="DC153" s="244"/>
      <c r="DD153" s="244"/>
      <c r="DE153" s="244"/>
      <c r="DF153" s="244"/>
      <c r="DG153" s="244"/>
      <c r="DH153" s="244"/>
      <c r="DI153" s="244"/>
      <c r="DJ153" s="244"/>
    </row>
    <row r="154" spans="1:114" s="245" customFormat="1" ht="27.75" customHeight="1">
      <c r="A154" s="157" t="s">
        <v>64</v>
      </c>
      <c r="B154" s="261">
        <v>2496</v>
      </c>
      <c r="C154" s="215" t="s">
        <v>342</v>
      </c>
      <c r="D154" s="287"/>
      <c r="E154" s="214"/>
      <c r="F154" s="156"/>
      <c r="G154" s="240"/>
      <c r="H154" s="259"/>
      <c r="I154" s="207"/>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row>
    <row r="155" spans="1:114" s="245" customFormat="1" ht="23.25" customHeight="1">
      <c r="A155" s="229" t="s">
        <v>20</v>
      </c>
      <c r="B155" s="220">
        <f>B154</f>
        <v>2496</v>
      </c>
      <c r="C155" s="146"/>
      <c r="D155" s="221">
        <f>D154</f>
        <v>0</v>
      </c>
      <c r="E155" s="220"/>
      <c r="F155" s="159"/>
      <c r="G155" s="240"/>
      <c r="H155" s="158">
        <f>H154</f>
        <v>0</v>
      </c>
      <c r="I155" s="158"/>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c r="CO155" s="244"/>
      <c r="CP155" s="244"/>
      <c r="CQ155" s="244"/>
      <c r="CR155" s="244"/>
      <c r="CS155" s="244"/>
      <c r="CT155" s="244"/>
      <c r="CU155" s="244"/>
      <c r="CV155" s="244"/>
      <c r="CW155" s="244"/>
      <c r="CX155" s="244"/>
      <c r="CY155" s="244"/>
      <c r="CZ155" s="244"/>
      <c r="DA155" s="244"/>
      <c r="DB155" s="244"/>
      <c r="DC155" s="244"/>
      <c r="DD155" s="244"/>
      <c r="DE155" s="244"/>
      <c r="DF155" s="244"/>
      <c r="DG155" s="244"/>
      <c r="DH155" s="244"/>
      <c r="DI155" s="244"/>
      <c r="DJ155" s="244"/>
    </row>
    <row r="156" spans="1:114" s="245" customFormat="1" ht="24" customHeight="1">
      <c r="A156" s="366" t="s">
        <v>315</v>
      </c>
      <c r="B156" s="402"/>
      <c r="C156" s="361"/>
      <c r="D156" s="287"/>
      <c r="E156" s="214"/>
      <c r="F156" s="156"/>
      <c r="G156" s="240"/>
      <c r="H156" s="259"/>
      <c r="I156" s="207"/>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c r="CO156" s="244"/>
      <c r="CP156" s="244"/>
      <c r="CQ156" s="244"/>
      <c r="CR156" s="244"/>
      <c r="CS156" s="244"/>
      <c r="CT156" s="244"/>
      <c r="CU156" s="244"/>
      <c r="CV156" s="244"/>
      <c r="CW156" s="244"/>
      <c r="CX156" s="244"/>
      <c r="CY156" s="244"/>
      <c r="CZ156" s="244"/>
      <c r="DA156" s="244"/>
      <c r="DB156" s="244"/>
      <c r="DC156" s="244"/>
      <c r="DD156" s="244"/>
      <c r="DE156" s="244"/>
      <c r="DF156" s="244"/>
      <c r="DG156" s="244"/>
      <c r="DH156" s="244"/>
      <c r="DI156" s="244"/>
      <c r="DJ156" s="244"/>
    </row>
    <row r="157" spans="1:114" s="245" customFormat="1" ht="19.5" customHeight="1">
      <c r="A157" s="372"/>
      <c r="B157" s="403"/>
      <c r="C157" s="375"/>
      <c r="D157" s="261"/>
      <c r="E157" s="276"/>
      <c r="F157" s="156"/>
      <c r="G157" s="240"/>
      <c r="H157" s="158"/>
      <c r="I157" s="158"/>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row>
    <row r="158" spans="1:114" s="245" customFormat="1" ht="24" customHeight="1">
      <c r="A158" s="267" t="s">
        <v>20</v>
      </c>
      <c r="B158" s="220">
        <f>B156</f>
        <v>0</v>
      </c>
      <c r="C158" s="362"/>
      <c r="D158" s="220">
        <f>D156+D157</f>
        <v>0</v>
      </c>
      <c r="E158" s="289"/>
      <c r="F158" s="156"/>
      <c r="G158" s="240"/>
      <c r="H158" s="158">
        <f>H156+H157</f>
        <v>0</v>
      </c>
      <c r="I158" s="158"/>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row>
    <row r="159" spans="1:114" s="245" customFormat="1" ht="30" customHeight="1">
      <c r="A159" s="157" t="s">
        <v>318</v>
      </c>
      <c r="B159" s="261"/>
      <c r="C159" s="215"/>
      <c r="D159" s="286"/>
      <c r="E159" s="214"/>
      <c r="F159" s="156"/>
      <c r="G159" s="240"/>
      <c r="H159" s="152"/>
      <c r="I159" s="207"/>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row>
    <row r="160" spans="1:114" s="245" customFormat="1" ht="24.75" customHeight="1" thickBot="1">
      <c r="A160" s="229" t="s">
        <v>20</v>
      </c>
      <c r="B160" s="238">
        <f>B159</f>
        <v>0</v>
      </c>
      <c r="C160" s="146"/>
      <c r="D160" s="294">
        <f>D159</f>
        <v>0</v>
      </c>
      <c r="E160" s="220"/>
      <c r="F160" s="159"/>
      <c r="G160" s="240"/>
      <c r="H160" s="250">
        <f>H159</f>
        <v>0</v>
      </c>
      <c r="I160" s="158"/>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row>
    <row r="161" spans="1:114" s="269" customFormat="1" ht="60.75" customHeight="1" thickBot="1">
      <c r="A161" s="253" t="s">
        <v>324</v>
      </c>
      <c r="B161" s="220">
        <f>SUM(B151+B66+B69+B72+B76+B79+B83+B86+B99+B102+B105+B109+B112+B158+B116+B119+B122+B125+B128+B132+B135+B138+B141+B145+B147+B149+B153+B155+B160)</f>
        <v>9820.7</v>
      </c>
      <c r="C161" s="220"/>
      <c r="D161" s="220">
        <f>SUM(D151+D66+D69+D72+D76+D158+D79+D83+D86+D99+D102+D105+D109+D112+D116+D119+D122+D125+D128+D132+D135+D138+D141+D145+D147+D149+D153+D155+D160)</f>
        <v>5249.280000000001</v>
      </c>
      <c r="E161" s="220">
        <f>SUM(E151+E66+E69+E72+E76+E158+E79+E83+E86+E99+E102+E105+E109+E112+E116+E119+E122+E125+E128+E132+E135+E138+E141+E145+E147+E149+E153+E155+E160)</f>
        <v>0</v>
      </c>
      <c r="F161" s="220">
        <f>SUM(F151+F66+F69+F72+F76+F158+F79+F83+F86+F99+F102+F105+F109+F112+F116+F119+F122+F125+F128+F132+F135+F138+F141+F145+F147+F149+F153+F155+F160)</f>
        <v>0</v>
      </c>
      <c r="G161" s="220">
        <f>SUM(G151+G66+G69+G72+G76+G158+G79+G83+G86+G99+G102+G105+G109+G112+G116+G119+G122+G125+G128+G132+G135+G138+G141+G145+G147+G149+G153+G155+G160)</f>
        <v>0</v>
      </c>
      <c r="H161" s="220">
        <f>SUM(H151+H66+H69+H72+H76+H158+H79+H83+H86+H99+H102+H105+H109+H112+H116+H119+H122+H125+H128+H132+H135+H138+H141+H145+H147+H149+H153+H155+H160)+H143</f>
        <v>0</v>
      </c>
      <c r="I161" s="220">
        <f>SUM(I151+I66+I69+I72+I76+I158+I79+I83+I86+I99+I102+I105+I109+I112+I116+I119+I122+I125+I128+I132+I135+I138+I141+I145+I147+I149+I153+I155+I160)</f>
        <v>0</v>
      </c>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row>
    <row r="162" spans="1:114" s="269" customFormat="1" ht="79.5" customHeight="1" thickBot="1">
      <c r="A162" s="229" t="s">
        <v>325</v>
      </c>
      <c r="B162" s="221">
        <f>SUM(B63+B161)</f>
        <v>128765.91000000002</v>
      </c>
      <c r="C162" s="221"/>
      <c r="D162" s="221">
        <f aca="true" t="shared" si="0" ref="D162:I162">D161+D63</f>
        <v>5253.280000000001</v>
      </c>
      <c r="E162" s="221">
        <f t="shared" si="0"/>
        <v>0</v>
      </c>
      <c r="F162" s="221">
        <f t="shared" si="0"/>
        <v>0</v>
      </c>
      <c r="G162" s="221">
        <f t="shared" si="0"/>
        <v>0</v>
      </c>
      <c r="H162" s="221">
        <f t="shared" si="0"/>
        <v>0</v>
      </c>
      <c r="I162" s="221">
        <f t="shared" si="0"/>
        <v>0</v>
      </c>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row>
    <row r="163" spans="1:114" s="272" customFormat="1" ht="9.75" customHeight="1" hidden="1">
      <c r="A163" s="222"/>
      <c r="B163" s="270"/>
      <c r="C163" s="222"/>
      <c r="D163" s="295"/>
      <c r="E163" s="273"/>
      <c r="F163" s="271"/>
      <c r="G163" s="271"/>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32"/>
      <c r="BL163" s="232"/>
      <c r="BM163" s="232"/>
      <c r="BN163" s="232"/>
      <c r="BO163" s="232"/>
      <c r="BP163" s="232"/>
      <c r="BQ163" s="232"/>
      <c r="BR163" s="232"/>
      <c r="BS163" s="232"/>
      <c r="BT163" s="232"/>
      <c r="BU163" s="232"/>
      <c r="BV163" s="232"/>
      <c r="BW163" s="232"/>
      <c r="BX163" s="232"/>
      <c r="BY163" s="232"/>
      <c r="BZ163" s="232"/>
      <c r="CA163" s="232"/>
      <c r="CB163" s="232"/>
      <c r="CC163" s="232"/>
      <c r="CD163" s="232"/>
      <c r="CE163" s="232"/>
      <c r="CF163" s="232"/>
      <c r="CG163" s="232"/>
      <c r="CH163" s="232"/>
      <c r="CI163" s="232"/>
      <c r="CJ163" s="232"/>
      <c r="CK163" s="232"/>
      <c r="CL163" s="232"/>
      <c r="CM163" s="232"/>
      <c r="CN163" s="232"/>
      <c r="CO163" s="232"/>
      <c r="CP163" s="232"/>
      <c r="CQ163" s="232"/>
      <c r="CR163" s="232"/>
      <c r="CS163" s="232"/>
      <c r="CT163" s="232"/>
      <c r="CU163" s="232"/>
      <c r="CV163" s="232"/>
      <c r="CW163" s="232"/>
      <c r="CX163" s="232"/>
      <c r="CY163" s="232"/>
      <c r="CZ163" s="232"/>
      <c r="DA163" s="232"/>
      <c r="DB163" s="232"/>
      <c r="DC163" s="232"/>
      <c r="DD163" s="232"/>
      <c r="DE163" s="232"/>
      <c r="DF163" s="232"/>
      <c r="DG163" s="232"/>
      <c r="DH163" s="232"/>
      <c r="DI163" s="232"/>
      <c r="DJ163" s="232"/>
    </row>
    <row r="164" spans="1:114" s="272" customFormat="1" ht="33" customHeight="1">
      <c r="A164" s="223" t="s">
        <v>326</v>
      </c>
      <c r="B164" s="273"/>
      <c r="C164" s="223"/>
      <c r="D164" s="295"/>
      <c r="E164" s="273" t="s">
        <v>34</v>
      </c>
      <c r="F164" s="271"/>
      <c r="G164" s="223" t="s">
        <v>343</v>
      </c>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32"/>
      <c r="BL164" s="232"/>
      <c r="BM164" s="232"/>
      <c r="BN164" s="232"/>
      <c r="BO164" s="232"/>
      <c r="BP164" s="232"/>
      <c r="BQ164" s="232"/>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2"/>
      <c r="CN164" s="232"/>
      <c r="CO164" s="232"/>
      <c r="CP164" s="232"/>
      <c r="CQ164" s="232"/>
      <c r="CR164" s="232"/>
      <c r="CS164" s="232"/>
      <c r="CT164" s="232"/>
      <c r="CU164" s="232"/>
      <c r="CV164" s="232"/>
      <c r="CW164" s="232"/>
      <c r="CX164" s="232"/>
      <c r="CY164" s="232"/>
      <c r="CZ164" s="232"/>
      <c r="DA164" s="232"/>
      <c r="DB164" s="232"/>
      <c r="DC164" s="232"/>
      <c r="DD164" s="232"/>
      <c r="DE164" s="232"/>
      <c r="DF164" s="232"/>
      <c r="DG164" s="232"/>
      <c r="DH164" s="232"/>
      <c r="DI164" s="232"/>
      <c r="DJ164" s="232"/>
    </row>
    <row r="165" spans="1:9" ht="20.25" customHeight="1">
      <c r="A165" s="222" t="s">
        <v>35</v>
      </c>
      <c r="B165" s="270"/>
      <c r="C165" s="224"/>
      <c r="D165" s="296"/>
      <c r="E165" s="300"/>
      <c r="F165" s="222"/>
      <c r="G165" s="222" t="s">
        <v>344</v>
      </c>
      <c r="H165" s="182"/>
      <c r="I165" s="182"/>
    </row>
    <row r="166" spans="1:10" ht="20.25" customHeight="1">
      <c r="A166" s="224" t="s">
        <v>345</v>
      </c>
      <c r="B166" s="224"/>
      <c r="C166" s="224"/>
      <c r="D166" s="295"/>
      <c r="E166" s="298"/>
      <c r="F166" s="274"/>
      <c r="G166" s="274"/>
      <c r="H166" s="182"/>
      <c r="I166" s="246"/>
      <c r="J166" s="182" t="s">
        <v>327</v>
      </c>
    </row>
    <row r="167" spans="1:9" ht="20.25" customHeight="1">
      <c r="A167" s="224" t="s">
        <v>346</v>
      </c>
      <c r="B167" s="224"/>
      <c r="C167" s="224"/>
      <c r="D167" s="295"/>
      <c r="E167" s="298"/>
      <c r="F167" s="274"/>
      <c r="G167" s="274"/>
      <c r="H167" s="182"/>
      <c r="I167" s="182"/>
    </row>
    <row r="168" spans="1:9" ht="12" customHeight="1">
      <c r="A168" s="182"/>
      <c r="B168" s="225"/>
      <c r="C168" s="225"/>
      <c r="D168" s="297"/>
      <c r="E168" s="225"/>
      <c r="F168" s="182"/>
      <c r="G168" s="182"/>
      <c r="H168" s="182"/>
      <c r="I168" s="182"/>
    </row>
    <row r="169" spans="1:9" ht="15.75">
      <c r="A169" s="182"/>
      <c r="B169" s="225"/>
      <c r="C169" s="225"/>
      <c r="D169" s="297"/>
      <c r="E169" s="225"/>
      <c r="F169" s="182"/>
      <c r="G169" s="182"/>
      <c r="H169" s="182"/>
      <c r="I169" s="182"/>
    </row>
    <row r="170" spans="1:9" ht="15.75">
      <c r="A170" s="182"/>
      <c r="B170" s="225"/>
      <c r="C170" s="225"/>
      <c r="D170" s="297"/>
      <c r="E170" s="225"/>
      <c r="F170" s="182"/>
      <c r="G170" s="182"/>
      <c r="H170" s="182"/>
      <c r="I170" s="182"/>
    </row>
  </sheetData>
  <sheetProtection/>
  <mergeCells count="165">
    <mergeCell ref="G4:I4"/>
    <mergeCell ref="A5:I5"/>
    <mergeCell ref="A6:I6"/>
    <mergeCell ref="A7:I7"/>
    <mergeCell ref="A8:A11"/>
    <mergeCell ref="B8:E8"/>
    <mergeCell ref="F8:I8"/>
    <mergeCell ref="B9:C10"/>
    <mergeCell ref="D9:E10"/>
    <mergeCell ref="F9:G10"/>
    <mergeCell ref="H9:I10"/>
    <mergeCell ref="A12:A13"/>
    <mergeCell ref="B12:B13"/>
    <mergeCell ref="C12:C13"/>
    <mergeCell ref="A15:A16"/>
    <mergeCell ref="B15:B16"/>
    <mergeCell ref="C15:C16"/>
    <mergeCell ref="E26:E27"/>
    <mergeCell ref="F26:F27"/>
    <mergeCell ref="A20:A21"/>
    <mergeCell ref="B20:B21"/>
    <mergeCell ref="C20:C21"/>
    <mergeCell ref="A23:A24"/>
    <mergeCell ref="B23:B24"/>
    <mergeCell ref="C23:C24"/>
    <mergeCell ref="G26:G27"/>
    <mergeCell ref="H26:H27"/>
    <mergeCell ref="I26:I27"/>
    <mergeCell ref="A30:A31"/>
    <mergeCell ref="B30:B31"/>
    <mergeCell ref="C30:C31"/>
    <mergeCell ref="A26:A28"/>
    <mergeCell ref="B26:B28"/>
    <mergeCell ref="C26:C28"/>
    <mergeCell ref="D26:D27"/>
    <mergeCell ref="A33:A34"/>
    <mergeCell ref="B33:B34"/>
    <mergeCell ref="C33:C34"/>
    <mergeCell ref="A36:A37"/>
    <mergeCell ref="B36:B37"/>
    <mergeCell ref="C36:C38"/>
    <mergeCell ref="A39:A40"/>
    <mergeCell ref="B39:B40"/>
    <mergeCell ref="C39:C40"/>
    <mergeCell ref="A42:A43"/>
    <mergeCell ref="B42:B43"/>
    <mergeCell ref="C42:C44"/>
    <mergeCell ref="A45:A46"/>
    <mergeCell ref="B45:B46"/>
    <mergeCell ref="C45:C46"/>
    <mergeCell ref="A48:A49"/>
    <mergeCell ref="B48:B49"/>
    <mergeCell ref="C48:C49"/>
    <mergeCell ref="A51:A52"/>
    <mergeCell ref="B51:B52"/>
    <mergeCell ref="C51:C52"/>
    <mergeCell ref="A54:A55"/>
    <mergeCell ref="B54:B55"/>
    <mergeCell ref="C54:C56"/>
    <mergeCell ref="A57:A58"/>
    <mergeCell ref="B57:B58"/>
    <mergeCell ref="C57:C58"/>
    <mergeCell ref="A60:A61"/>
    <mergeCell ref="B60:B61"/>
    <mergeCell ref="C60:C61"/>
    <mergeCell ref="A64:A65"/>
    <mergeCell ref="B64:B65"/>
    <mergeCell ref="C64:C66"/>
    <mergeCell ref="A67:A68"/>
    <mergeCell ref="B67:B68"/>
    <mergeCell ref="C67:C69"/>
    <mergeCell ref="A70:A71"/>
    <mergeCell ref="B70:B71"/>
    <mergeCell ref="C70:C71"/>
    <mergeCell ref="F70:F71"/>
    <mergeCell ref="G70:G71"/>
    <mergeCell ref="A73:A75"/>
    <mergeCell ref="B73:B75"/>
    <mergeCell ref="F73:F75"/>
    <mergeCell ref="G73:G75"/>
    <mergeCell ref="C74:C75"/>
    <mergeCell ref="A77:A78"/>
    <mergeCell ref="B77:B78"/>
    <mergeCell ref="C77:C78"/>
    <mergeCell ref="F77:F78"/>
    <mergeCell ref="G77:G78"/>
    <mergeCell ref="A80:A82"/>
    <mergeCell ref="B80:B82"/>
    <mergeCell ref="C80:C81"/>
    <mergeCell ref="F80:F82"/>
    <mergeCell ref="G80:G82"/>
    <mergeCell ref="A84:A85"/>
    <mergeCell ref="B84:B85"/>
    <mergeCell ref="C84:C86"/>
    <mergeCell ref="F84:F85"/>
    <mergeCell ref="G84:G85"/>
    <mergeCell ref="A97:A98"/>
    <mergeCell ref="B97:B98"/>
    <mergeCell ref="C97:C99"/>
    <mergeCell ref="F97:F98"/>
    <mergeCell ref="G97:G98"/>
    <mergeCell ref="A100:A101"/>
    <mergeCell ref="B100:B101"/>
    <mergeCell ref="F100:F101"/>
    <mergeCell ref="G100:G101"/>
    <mergeCell ref="A103:A104"/>
    <mergeCell ref="B103:B104"/>
    <mergeCell ref="C103:C104"/>
    <mergeCell ref="F103:F104"/>
    <mergeCell ref="G103:G104"/>
    <mergeCell ref="A106:A108"/>
    <mergeCell ref="B106:B108"/>
    <mergeCell ref="F106:F108"/>
    <mergeCell ref="G106:G108"/>
    <mergeCell ref="C107:C108"/>
    <mergeCell ref="A110:A111"/>
    <mergeCell ref="B110:B111"/>
    <mergeCell ref="C110:C111"/>
    <mergeCell ref="F110:F111"/>
    <mergeCell ref="G110:G111"/>
    <mergeCell ref="A113:A115"/>
    <mergeCell ref="B113:B115"/>
    <mergeCell ref="F113:F115"/>
    <mergeCell ref="G113:G115"/>
    <mergeCell ref="C114:C115"/>
    <mergeCell ref="A117:A118"/>
    <mergeCell ref="B117:B118"/>
    <mergeCell ref="E117:E119"/>
    <mergeCell ref="F117:F118"/>
    <mergeCell ref="G117:G118"/>
    <mergeCell ref="A120:A121"/>
    <mergeCell ref="B120:B121"/>
    <mergeCell ref="F120:F121"/>
    <mergeCell ref="G120:G121"/>
    <mergeCell ref="A123:A124"/>
    <mergeCell ref="B123:B124"/>
    <mergeCell ref="C123:C124"/>
    <mergeCell ref="F123:F124"/>
    <mergeCell ref="G123:G124"/>
    <mergeCell ref="A126:A127"/>
    <mergeCell ref="B126:B127"/>
    <mergeCell ref="F126:F127"/>
    <mergeCell ref="G126:G127"/>
    <mergeCell ref="A129:A131"/>
    <mergeCell ref="B129:B131"/>
    <mergeCell ref="C129:C130"/>
    <mergeCell ref="F129:F131"/>
    <mergeCell ref="G129:G131"/>
    <mergeCell ref="A133:A134"/>
    <mergeCell ref="B133:B134"/>
    <mergeCell ref="E133:E135"/>
    <mergeCell ref="F133:F134"/>
    <mergeCell ref="G133:G134"/>
    <mergeCell ref="A136:A137"/>
    <mergeCell ref="B136:B137"/>
    <mergeCell ref="F136:F137"/>
    <mergeCell ref="G136:G137"/>
    <mergeCell ref="A139:A140"/>
    <mergeCell ref="B139:B140"/>
    <mergeCell ref="E139:E141"/>
    <mergeCell ref="F139:F140"/>
    <mergeCell ref="G139:G140"/>
    <mergeCell ref="A156:A157"/>
    <mergeCell ref="B156:B157"/>
    <mergeCell ref="C156:C158"/>
  </mergeCells>
  <printOptions/>
  <pageMargins left="0.11811023622047245" right="0.11811023622047245" top="0.1968503937007874" bottom="0.1968503937007874"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DJ136"/>
  <sheetViews>
    <sheetView zoomScale="66" zoomScaleNormal="66" zoomScalePageLayoutView="0" workbookViewId="0" topLeftCell="A11">
      <pane xSplit="1" ySplit="1" topLeftCell="B12" activePane="bottomRight" state="frozen"/>
      <selection pane="topLeft" activeCell="A11" sqref="A11"/>
      <selection pane="topRight" activeCell="B11" sqref="B11"/>
      <selection pane="bottomLeft" activeCell="A12" sqref="A12"/>
      <selection pane="bottomRight" activeCell="A8" sqref="A1:IV16384"/>
    </sheetView>
  </sheetViews>
  <sheetFormatPr defaultColWidth="9.140625" defaultRowHeight="15"/>
  <cols>
    <col min="1" max="1" width="16.7109375" style="1" customWidth="1"/>
    <col min="2" max="2" width="19.00390625" style="1" customWidth="1"/>
    <col min="3" max="3" width="31.00390625" style="5" customWidth="1"/>
    <col min="4" max="4" width="13.8515625" style="1" customWidth="1"/>
    <col min="5" max="5" width="19.7109375" style="1" customWidth="1"/>
    <col min="6" max="6" width="13.8515625" style="1" customWidth="1"/>
    <col min="7" max="7" width="29.7109375" style="1" customWidth="1"/>
    <col min="8" max="8" width="12.8515625" style="1" customWidth="1"/>
    <col min="9" max="9" width="28.28125" style="1" customWidth="1"/>
    <col min="10" max="10" width="8.140625" style="2" customWidth="1"/>
    <col min="11" max="114" width="9.140625" style="2" customWidth="1"/>
    <col min="115" max="16384" width="9.140625" style="1" customWidth="1"/>
  </cols>
  <sheetData>
    <row r="1" spans="3:9" ht="18" customHeight="1">
      <c r="C1" s="1" t="s">
        <v>34</v>
      </c>
      <c r="G1" s="170" t="s">
        <v>226</v>
      </c>
      <c r="H1" s="170" t="s">
        <v>225</v>
      </c>
      <c r="I1" s="170"/>
    </row>
    <row r="2" spans="3:9" ht="18" customHeight="1">
      <c r="C2" s="1"/>
      <c r="G2" s="107"/>
      <c r="H2" s="170" t="s">
        <v>74</v>
      </c>
      <c r="I2" s="170"/>
    </row>
    <row r="3" spans="3:9" ht="16.5" customHeight="1">
      <c r="C3" s="1"/>
      <c r="G3" s="170"/>
      <c r="H3" s="170" t="s">
        <v>227</v>
      </c>
      <c r="I3" s="170"/>
    </row>
    <row r="4" spans="3:9" ht="15.75">
      <c r="C4" s="1"/>
      <c r="G4" s="363"/>
      <c r="H4" s="363"/>
      <c r="I4" s="363"/>
    </row>
    <row r="5" spans="1:9" ht="15.75">
      <c r="A5" s="364" t="s">
        <v>26</v>
      </c>
      <c r="B5" s="364"/>
      <c r="C5" s="364"/>
      <c r="D5" s="364"/>
      <c r="E5" s="364"/>
      <c r="F5" s="364"/>
      <c r="G5" s="364"/>
      <c r="H5" s="364"/>
      <c r="I5" s="364"/>
    </row>
    <row r="6" spans="1:9" ht="15.75">
      <c r="A6" s="364" t="s">
        <v>262</v>
      </c>
      <c r="B6" s="364"/>
      <c r="C6" s="364"/>
      <c r="D6" s="364"/>
      <c r="E6" s="364"/>
      <c r="F6" s="364"/>
      <c r="G6" s="364"/>
      <c r="H6" s="364"/>
      <c r="I6" s="364"/>
    </row>
    <row r="7" spans="1:114" s="4" customFormat="1" ht="15.75">
      <c r="A7" s="364" t="s">
        <v>27</v>
      </c>
      <c r="B7" s="364"/>
      <c r="C7" s="364"/>
      <c r="D7" s="364"/>
      <c r="E7" s="364"/>
      <c r="F7" s="364"/>
      <c r="G7" s="364"/>
      <c r="H7" s="364"/>
      <c r="I7" s="364"/>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row>
    <row r="8" spans="1:114" s="10" customFormat="1" ht="19.5" customHeight="1">
      <c r="A8" s="420" t="s">
        <v>28</v>
      </c>
      <c r="B8" s="420" t="s">
        <v>0</v>
      </c>
      <c r="C8" s="420"/>
      <c r="D8" s="420"/>
      <c r="E8" s="420"/>
      <c r="F8" s="420" t="s">
        <v>1</v>
      </c>
      <c r="G8" s="420"/>
      <c r="H8" s="420"/>
      <c r="I8" s="420"/>
      <c r="J8" s="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0" customFormat="1" ht="13.5" customHeight="1">
      <c r="A9" s="420"/>
      <c r="B9" s="420" t="s">
        <v>2</v>
      </c>
      <c r="C9" s="420"/>
      <c r="D9" s="420" t="s">
        <v>23</v>
      </c>
      <c r="E9" s="420"/>
      <c r="F9" s="420" t="s">
        <v>2</v>
      </c>
      <c r="G9" s="420"/>
      <c r="H9" s="420" t="s">
        <v>3</v>
      </c>
      <c r="I9" s="421"/>
      <c r="J9" s="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0" customFormat="1" ht="26.25" customHeight="1">
      <c r="A10" s="420"/>
      <c r="B10" s="420"/>
      <c r="C10" s="420"/>
      <c r="D10" s="420"/>
      <c r="E10" s="420"/>
      <c r="F10" s="420"/>
      <c r="G10" s="420"/>
      <c r="H10" s="421"/>
      <c r="I10" s="421"/>
      <c r="J10" s="9"/>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0" customFormat="1" ht="67.5" customHeight="1">
      <c r="A11" s="420"/>
      <c r="B11" s="19" t="s">
        <v>22</v>
      </c>
      <c r="C11" s="20" t="s">
        <v>4</v>
      </c>
      <c r="D11" s="19" t="s">
        <v>22</v>
      </c>
      <c r="E11" s="207" t="s">
        <v>5</v>
      </c>
      <c r="F11" s="19" t="s">
        <v>22</v>
      </c>
      <c r="G11" s="19" t="s">
        <v>4</v>
      </c>
      <c r="H11" s="19" t="s">
        <v>22</v>
      </c>
      <c r="I11" s="19" t="s">
        <v>6</v>
      </c>
      <c r="J11" s="9"/>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0" customFormat="1" ht="39" customHeight="1">
      <c r="A12" s="422" t="s">
        <v>24</v>
      </c>
      <c r="B12" s="423">
        <f>980+495+394+2138+392+9440+216+10300+252+276+360+2385.85</f>
        <v>27628.85</v>
      </c>
      <c r="C12" s="424" t="s">
        <v>263</v>
      </c>
      <c r="D12" s="23"/>
      <c r="E12" s="188"/>
      <c r="F12" s="25"/>
      <c r="G12" s="97"/>
      <c r="H12" s="26"/>
      <c r="I12" s="26"/>
      <c r="J12" s="9"/>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0" customFormat="1" ht="39" customHeight="1">
      <c r="A13" s="422"/>
      <c r="B13" s="423"/>
      <c r="C13" s="424"/>
      <c r="D13" s="23"/>
      <c r="E13" s="189"/>
      <c r="F13" s="25"/>
      <c r="G13" s="97"/>
      <c r="H13" s="26"/>
      <c r="I13" s="26"/>
      <c r="J13" s="9"/>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3" customFormat="1" ht="20.25" customHeight="1">
      <c r="A14" s="27" t="s">
        <v>19</v>
      </c>
      <c r="B14" s="48">
        <f>SUM(B12:B13)</f>
        <v>27628.85</v>
      </c>
      <c r="C14" s="94"/>
      <c r="D14" s="29"/>
      <c r="E14" s="190"/>
      <c r="F14" s="31"/>
      <c r="G14" s="98"/>
      <c r="H14" s="27"/>
      <c r="I14" s="27"/>
      <c r="J14" s="11"/>
      <c r="K14" s="183"/>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row>
    <row r="15" spans="1:114" s="10" customFormat="1" ht="80.25" customHeight="1">
      <c r="A15" s="44" t="s">
        <v>7</v>
      </c>
      <c r="B15" s="179">
        <f>369+391.5+332.4+6060+280.65+504.26+6950+720+678.9+190.5</f>
        <v>16477.21</v>
      </c>
      <c r="C15" s="40" t="s">
        <v>239</v>
      </c>
      <c r="D15" s="23"/>
      <c r="E15" s="119"/>
      <c r="F15" s="25"/>
      <c r="G15" s="97"/>
      <c r="H15" s="26"/>
      <c r="I15" s="26"/>
      <c r="J15" s="9"/>
      <c r="K15" s="18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3" customFormat="1" ht="19.5" customHeight="1">
      <c r="A16" s="27" t="s">
        <v>19</v>
      </c>
      <c r="B16" s="48">
        <f>SUM(B15)</f>
        <v>16477.21</v>
      </c>
      <c r="C16" s="40"/>
      <c r="D16" s="191"/>
      <c r="E16" s="190"/>
      <c r="F16" s="31"/>
      <c r="G16" s="98"/>
      <c r="H16" s="27"/>
      <c r="I16" s="27"/>
      <c r="J16" s="11"/>
      <c r="K16" s="183"/>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row>
    <row r="17" spans="1:114" s="13" customFormat="1" ht="94.5" customHeight="1">
      <c r="A17" s="44" t="s">
        <v>32</v>
      </c>
      <c r="B17" s="179">
        <f>194.1+2536.1+748.8+943.8+3900+4960</f>
        <v>13282.8</v>
      </c>
      <c r="C17" s="40" t="s">
        <v>264</v>
      </c>
      <c r="D17" s="21"/>
      <c r="E17" s="119"/>
      <c r="F17" s="36">
        <f>2495+1000+2300+700</f>
        <v>6495</v>
      </c>
      <c r="G17" s="97" t="s">
        <v>108</v>
      </c>
      <c r="H17" s="27"/>
      <c r="I17" s="27"/>
      <c r="J17" s="11"/>
      <c r="K17" s="183"/>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row>
    <row r="18" spans="1:114" s="13" customFormat="1" ht="23.25" customHeight="1">
      <c r="A18" s="27" t="s">
        <v>19</v>
      </c>
      <c r="B18" s="48">
        <f>SUM(B17)</f>
        <v>13282.8</v>
      </c>
      <c r="C18" s="40"/>
      <c r="D18" s="29"/>
      <c r="E18" s="190"/>
      <c r="F18" s="37">
        <f>F17</f>
        <v>6495</v>
      </c>
      <c r="G18" s="98"/>
      <c r="H18" s="27"/>
      <c r="I18" s="27"/>
      <c r="J18" s="11"/>
      <c r="K18" s="18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row>
    <row r="19" spans="1:114" s="10" customFormat="1" ht="114" customHeight="1">
      <c r="A19" s="44" t="s">
        <v>55</v>
      </c>
      <c r="B19" s="179">
        <f>2542+5364</f>
        <v>7906</v>
      </c>
      <c r="C19" s="40" t="s">
        <v>265</v>
      </c>
      <c r="D19" s="192"/>
      <c r="E19" s="39"/>
      <c r="F19" s="25"/>
      <c r="G19" s="97"/>
      <c r="H19" s="26"/>
      <c r="I19" s="26"/>
      <c r="J19" s="9"/>
      <c r="K19" s="18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row>
    <row r="20" spans="1:114" s="13" customFormat="1" ht="28.5" customHeight="1">
      <c r="A20" s="27" t="s">
        <v>20</v>
      </c>
      <c r="B20" s="48">
        <f>B19</f>
        <v>7906</v>
      </c>
      <c r="C20" s="94"/>
      <c r="D20" s="23"/>
      <c r="E20" s="119"/>
      <c r="F20" s="31"/>
      <c r="G20" s="98"/>
      <c r="H20" s="27"/>
      <c r="I20" s="27"/>
      <c r="J20" s="11"/>
      <c r="K20" s="183"/>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row>
    <row r="21" spans="1:114" s="10" customFormat="1" ht="20.25" customHeight="1">
      <c r="A21" s="21" t="s">
        <v>8</v>
      </c>
      <c r="B21" s="47">
        <f>243+259.2</f>
        <v>502.2</v>
      </c>
      <c r="C21" s="40" t="s">
        <v>242</v>
      </c>
      <c r="D21" s="192"/>
      <c r="E21" s="39"/>
      <c r="F21" s="25"/>
      <c r="G21" s="97"/>
      <c r="H21" s="41"/>
      <c r="I21" s="97"/>
      <c r="J21" s="9"/>
      <c r="K21" s="18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s="13" customFormat="1" ht="17.25" customHeight="1">
      <c r="A22" s="27" t="s">
        <v>20</v>
      </c>
      <c r="B22" s="48">
        <f>B21</f>
        <v>502.2</v>
      </c>
      <c r="C22" s="40"/>
      <c r="D22" s="23"/>
      <c r="E22" s="119"/>
      <c r="F22" s="31"/>
      <c r="G22" s="98"/>
      <c r="H22" s="193"/>
      <c r="I22" s="27"/>
      <c r="J22" s="11"/>
      <c r="K22" s="183"/>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row>
    <row r="23" spans="1:114" s="13" customFormat="1" ht="20.25" customHeight="1">
      <c r="A23" s="422" t="s">
        <v>9</v>
      </c>
      <c r="B23" s="425">
        <f>2240+13560+555.28+681+934+641+9600+2314+931+603+516+25000+504+504</f>
        <v>58583.28</v>
      </c>
      <c r="C23" s="424" t="s">
        <v>230</v>
      </c>
      <c r="D23" s="428"/>
      <c r="E23" s="429"/>
      <c r="F23" s="430"/>
      <c r="G23" s="427"/>
      <c r="H23" s="426"/>
      <c r="I23" s="426"/>
      <c r="J23" s="11"/>
      <c r="K23" s="183"/>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row>
    <row r="24" spans="1:114" s="13" customFormat="1" ht="21" customHeight="1">
      <c r="A24" s="422"/>
      <c r="B24" s="425"/>
      <c r="C24" s="424"/>
      <c r="D24" s="428"/>
      <c r="E24" s="429"/>
      <c r="F24" s="430"/>
      <c r="G24" s="427"/>
      <c r="H24" s="426"/>
      <c r="I24" s="426"/>
      <c r="J24" s="11"/>
      <c r="K24" s="183"/>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row>
    <row r="25" spans="1:114" s="13" customFormat="1" ht="22.5" customHeight="1">
      <c r="A25" s="27" t="s">
        <v>20</v>
      </c>
      <c r="B25" s="48">
        <f>SUM(B23:B24)</f>
        <v>58583.28</v>
      </c>
      <c r="C25" s="173"/>
      <c r="D25" s="23"/>
      <c r="E25" s="119"/>
      <c r="F25" s="74"/>
      <c r="G25" s="98"/>
      <c r="H25" s="60"/>
      <c r="I25" s="60"/>
      <c r="J25" s="11"/>
      <c r="K25" s="183"/>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row>
    <row r="26" spans="1:114" s="10" customFormat="1" ht="38.25" customHeight="1">
      <c r="A26" s="44" t="s">
        <v>10</v>
      </c>
      <c r="B26" s="179">
        <f>64.8+64.8+570+64.8+64.8+64.8+64.8+64.8</f>
        <v>1023.5999999999998</v>
      </c>
      <c r="C26" s="173" t="s">
        <v>218</v>
      </c>
      <c r="D26" s="23"/>
      <c r="E26" s="119"/>
      <c r="F26" s="59"/>
      <c r="G26" s="97"/>
      <c r="H26" s="19"/>
      <c r="I26" s="19"/>
      <c r="J26" s="9"/>
      <c r="K26" s="18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s="13" customFormat="1" ht="16.5" customHeight="1">
      <c r="A27" s="27" t="s">
        <v>20</v>
      </c>
      <c r="B27" s="48">
        <f>SUM(B26)</f>
        <v>1023.5999999999998</v>
      </c>
      <c r="C27" s="173"/>
      <c r="D27" s="23"/>
      <c r="E27" s="119"/>
      <c r="F27" s="57"/>
      <c r="G27" s="98"/>
      <c r="H27" s="60"/>
      <c r="I27" s="60"/>
      <c r="J27" s="11"/>
      <c r="K27" s="183"/>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s="10" customFormat="1" ht="24.75" customHeight="1">
      <c r="A28" s="422" t="s">
        <v>11</v>
      </c>
      <c r="B28" s="423">
        <f>635.4+294.8+660+1100+294.8+142.4+110+133+113.6+371</f>
        <v>3855</v>
      </c>
      <c r="C28" s="424" t="s">
        <v>266</v>
      </c>
      <c r="D28" s="23"/>
      <c r="E28" s="119"/>
      <c r="F28" s="75"/>
      <c r="G28" s="97"/>
      <c r="H28" s="19"/>
      <c r="I28" s="19"/>
      <c r="J28" s="9"/>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row>
    <row r="29" spans="1:114" s="10" customFormat="1" ht="66.75" customHeight="1">
      <c r="A29" s="422"/>
      <c r="B29" s="423"/>
      <c r="C29" s="424"/>
      <c r="D29" s="23"/>
      <c r="E29" s="119"/>
      <c r="F29" s="75"/>
      <c r="G29" s="97"/>
      <c r="H29" s="19"/>
      <c r="I29" s="19"/>
      <c r="J29" s="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row>
    <row r="30" spans="1:114" s="13" customFormat="1" ht="18.75" customHeight="1">
      <c r="A30" s="27" t="s">
        <v>20</v>
      </c>
      <c r="B30" s="48">
        <f>SUM(B28:B29)</f>
        <v>3855</v>
      </c>
      <c r="C30" s="94"/>
      <c r="D30" s="19"/>
      <c r="E30" s="43"/>
      <c r="F30" s="74"/>
      <c r="G30" s="98"/>
      <c r="H30" s="60"/>
      <c r="I30" s="60"/>
      <c r="J30" s="11"/>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row>
    <row r="31" spans="1:114" s="10" customFormat="1" ht="15.75" customHeight="1">
      <c r="A31" s="422" t="s">
        <v>49</v>
      </c>
      <c r="B31" s="423">
        <f>374.4+6834+399.6+8932+3755+13097+341.8+3750+137.8+28960</f>
        <v>66581.6</v>
      </c>
      <c r="C31" s="431" t="s">
        <v>268</v>
      </c>
      <c r="D31" s="23"/>
      <c r="E31" s="119"/>
      <c r="F31" s="75"/>
      <c r="G31" s="97"/>
      <c r="H31" s="19"/>
      <c r="I31" s="19"/>
      <c r="J31" s="9"/>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row>
    <row r="32" spans="1:114" s="10" customFormat="1" ht="130.5" customHeight="1">
      <c r="A32" s="422"/>
      <c r="B32" s="423"/>
      <c r="C32" s="432"/>
      <c r="D32" s="23"/>
      <c r="E32" s="119"/>
      <c r="F32" s="75"/>
      <c r="G32" s="97"/>
      <c r="H32" s="19"/>
      <c r="I32" s="19"/>
      <c r="J32" s="9"/>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row>
    <row r="33" spans="1:114" s="13" customFormat="1" ht="24.75" customHeight="1">
      <c r="A33" s="27" t="s">
        <v>20</v>
      </c>
      <c r="B33" s="48">
        <f>SUM(B31:B32)</f>
        <v>66581.6</v>
      </c>
      <c r="C33" s="433"/>
      <c r="D33" s="19"/>
      <c r="E33" s="43"/>
      <c r="F33" s="74"/>
      <c r="G33" s="98"/>
      <c r="H33" s="60"/>
      <c r="I33" s="60"/>
      <c r="J33" s="11"/>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row>
    <row r="34" spans="1:114" s="10" customFormat="1" ht="24.75" customHeight="1">
      <c r="A34" s="44" t="s">
        <v>12</v>
      </c>
      <c r="B34" s="179">
        <f>378+378+394+258+258+258+258</f>
        <v>2182</v>
      </c>
      <c r="C34" s="40" t="s">
        <v>77</v>
      </c>
      <c r="D34" s="19"/>
      <c r="E34" s="43"/>
      <c r="F34" s="59"/>
      <c r="G34" s="97"/>
      <c r="H34" s="19"/>
      <c r="I34" s="19"/>
      <c r="J34" s="9"/>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row>
    <row r="35" spans="1:114" s="13" customFormat="1" ht="16.5" customHeight="1">
      <c r="A35" s="27" t="s">
        <v>20</v>
      </c>
      <c r="B35" s="48">
        <f>SUM(B34)</f>
        <v>2182</v>
      </c>
      <c r="C35" s="40"/>
      <c r="D35" s="44"/>
      <c r="E35" s="45"/>
      <c r="F35" s="74"/>
      <c r="G35" s="98"/>
      <c r="H35" s="60"/>
      <c r="I35" s="60"/>
      <c r="J35" s="11"/>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row>
    <row r="36" spans="1:114" s="10" customFormat="1" ht="35.25" customHeight="1">
      <c r="A36" s="21" t="s">
        <v>21</v>
      </c>
      <c r="B36" s="47">
        <f>850+154+196+904+190+200+45+750+1560</f>
        <v>4849</v>
      </c>
      <c r="C36" s="424" t="s">
        <v>255</v>
      </c>
      <c r="D36" s="44"/>
      <c r="E36" s="43"/>
      <c r="F36" s="59"/>
      <c r="G36" s="97"/>
      <c r="H36" s="19"/>
      <c r="I36" s="19"/>
      <c r="J36" s="9"/>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row>
    <row r="37" spans="1:114" s="13" customFormat="1" ht="24.75" customHeight="1">
      <c r="A37" s="27" t="s">
        <v>20</v>
      </c>
      <c r="B37" s="48">
        <f>SUM(B36:B36)</f>
        <v>4849</v>
      </c>
      <c r="C37" s="424"/>
      <c r="D37" s="19"/>
      <c r="E37" s="43"/>
      <c r="F37" s="74"/>
      <c r="G37" s="98"/>
      <c r="H37" s="60"/>
      <c r="I37" s="60"/>
      <c r="J37" s="11"/>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row>
    <row r="38" spans="1:114" s="10" customFormat="1" ht="114" customHeight="1">
      <c r="A38" s="44" t="s">
        <v>13</v>
      </c>
      <c r="B38" s="179">
        <f>550+634+648+4026+2572+475+521+542+350+24291+360+9700</f>
        <v>44669</v>
      </c>
      <c r="C38" s="40" t="s">
        <v>267</v>
      </c>
      <c r="D38" s="44"/>
      <c r="E38" s="43"/>
      <c r="F38" s="43"/>
      <c r="G38" s="97"/>
      <c r="H38" s="19"/>
      <c r="I38" s="19"/>
      <c r="J38" s="9"/>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row>
    <row r="39" spans="1:114" s="13" customFormat="1" ht="22.5" customHeight="1">
      <c r="A39" s="27" t="s">
        <v>20</v>
      </c>
      <c r="B39" s="48">
        <f>SUM(B38)</f>
        <v>44669</v>
      </c>
      <c r="C39" s="40"/>
      <c r="D39" s="44"/>
      <c r="E39" s="43"/>
      <c r="F39" s="74"/>
      <c r="G39" s="98"/>
      <c r="H39" s="60"/>
      <c r="I39" s="60"/>
      <c r="J39" s="11"/>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row>
    <row r="40" spans="1:114" s="10" customFormat="1" ht="58.5" customHeight="1">
      <c r="A40" s="44" t="s">
        <v>14</v>
      </c>
      <c r="B40" s="179">
        <f>699+3000+11000+637</f>
        <v>15336</v>
      </c>
      <c r="C40" s="173" t="s">
        <v>231</v>
      </c>
      <c r="D40" s="44"/>
      <c r="E40" s="43"/>
      <c r="F40" s="43"/>
      <c r="G40" s="97"/>
      <c r="H40" s="19"/>
      <c r="I40" s="19"/>
      <c r="J40" s="9"/>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row>
    <row r="41" spans="1:114" s="13" customFormat="1" ht="17.25" customHeight="1">
      <c r="A41" s="27" t="s">
        <v>20</v>
      </c>
      <c r="B41" s="48">
        <f>SUM(B40:B40)</f>
        <v>15336</v>
      </c>
      <c r="C41" s="173"/>
      <c r="D41" s="44"/>
      <c r="E41" s="43"/>
      <c r="F41" s="74">
        <f>F40</f>
        <v>0</v>
      </c>
      <c r="G41" s="98"/>
      <c r="H41" s="60"/>
      <c r="I41" s="60"/>
      <c r="J41" s="11"/>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row>
    <row r="42" spans="1:114" s="10" customFormat="1" ht="42.75" customHeight="1">
      <c r="A42" s="44" t="s">
        <v>15</v>
      </c>
      <c r="B42" s="179">
        <f>24000+644+2000+822+822+722+722+544+544</f>
        <v>30820</v>
      </c>
      <c r="C42" s="40" t="s">
        <v>211</v>
      </c>
      <c r="D42" s="44"/>
      <c r="E42" s="45"/>
      <c r="F42" s="43"/>
      <c r="G42" s="97"/>
      <c r="H42" s="19"/>
      <c r="I42" s="19"/>
      <c r="J42" s="9"/>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row>
    <row r="43" spans="1:114" s="13" customFormat="1" ht="21.75" customHeight="1">
      <c r="A43" s="27" t="s">
        <v>20</v>
      </c>
      <c r="B43" s="48">
        <f>SUM(B42:B42)</f>
        <v>30820</v>
      </c>
      <c r="C43" s="40"/>
      <c r="D43" s="44"/>
      <c r="E43" s="45"/>
      <c r="F43" s="74"/>
      <c r="G43" s="98"/>
      <c r="H43" s="60"/>
      <c r="I43" s="60"/>
      <c r="J43" s="11"/>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row>
    <row r="44" spans="1:114" s="10" customFormat="1" ht="42.75" customHeight="1">
      <c r="A44" s="44" t="s">
        <v>16</v>
      </c>
      <c r="B44" s="179">
        <f>3200+480+1980+3641+250+3030+1288.52+284.4+200+585</f>
        <v>14938.92</v>
      </c>
      <c r="C44" s="424" t="s">
        <v>232</v>
      </c>
      <c r="D44" s="44"/>
      <c r="E44" s="45"/>
      <c r="F44" s="43"/>
      <c r="G44" s="97"/>
      <c r="H44" s="19"/>
      <c r="I44" s="19"/>
      <c r="J44" s="9"/>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row>
    <row r="45" spans="1:114" s="13" customFormat="1" ht="42.75" customHeight="1">
      <c r="A45" s="27" t="s">
        <v>20</v>
      </c>
      <c r="B45" s="194">
        <f>SUM(B44:B44)</f>
        <v>14938.92</v>
      </c>
      <c r="C45" s="424"/>
      <c r="D45" s="44"/>
      <c r="E45" s="45"/>
      <c r="F45" s="74">
        <f>F44</f>
        <v>0</v>
      </c>
      <c r="G45" s="98"/>
      <c r="H45" s="60"/>
      <c r="I45" s="60"/>
      <c r="J45" s="11"/>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row>
    <row r="46" spans="1:114" s="10" customFormat="1" ht="29.25" customHeight="1">
      <c r="A46" s="44" t="s">
        <v>17</v>
      </c>
      <c r="B46" s="179">
        <f>4500+198+460+3530+580+1090+1090</f>
        <v>11448</v>
      </c>
      <c r="C46" s="424" t="s">
        <v>222</v>
      </c>
      <c r="D46" s="19"/>
      <c r="E46" s="45"/>
      <c r="F46" s="43"/>
      <c r="G46" s="97"/>
      <c r="H46" s="19"/>
      <c r="I46" s="19"/>
      <c r="J46" s="9"/>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row>
    <row r="47" spans="1:114" s="13" customFormat="1" ht="30" customHeight="1">
      <c r="A47" s="27" t="s">
        <v>20</v>
      </c>
      <c r="B47" s="48">
        <f>SUM(B46:B46)</f>
        <v>11448</v>
      </c>
      <c r="C47" s="424"/>
      <c r="D47" s="44"/>
      <c r="E47" s="43"/>
      <c r="F47" s="74"/>
      <c r="G47" s="98"/>
      <c r="H47" s="60"/>
      <c r="I47" s="60"/>
      <c r="J47" s="11"/>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row>
    <row r="48" spans="1:114" s="10" customFormat="1" ht="32.25" customHeight="1">
      <c r="A48" s="44" t="s">
        <v>18</v>
      </c>
      <c r="B48" s="179">
        <f>140+3200+1990+140+170+430+150+150+150+154</f>
        <v>6674</v>
      </c>
      <c r="C48" s="424" t="s">
        <v>233</v>
      </c>
      <c r="D48" s="44"/>
      <c r="E48" s="43"/>
      <c r="F48" s="43"/>
      <c r="G48" s="97"/>
      <c r="H48" s="19"/>
      <c r="I48" s="19"/>
      <c r="J48" s="9"/>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row>
    <row r="49" spans="1:114" s="10" customFormat="1" ht="19.5" customHeight="1" thickBot="1">
      <c r="A49" s="27" t="s">
        <v>20</v>
      </c>
      <c r="B49" s="48">
        <f>SUM(B48:B48)</f>
        <v>6674</v>
      </c>
      <c r="C49" s="424"/>
      <c r="D49" s="44"/>
      <c r="E49" s="43"/>
      <c r="F49" s="74">
        <f>F48</f>
        <v>0</v>
      </c>
      <c r="G49" s="97"/>
      <c r="H49" s="19"/>
      <c r="I49" s="19"/>
      <c r="J49" s="9"/>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row>
    <row r="50" spans="1:114" s="16" customFormat="1" ht="36.75" customHeight="1" thickBot="1">
      <c r="A50" s="195" t="s">
        <v>68</v>
      </c>
      <c r="B50" s="196">
        <f>SUM(B14+B16+B18+B20+B22+B25+B27+B30+B33+B35+B37+B39+B41+B43+B45+B47+B49)</f>
        <v>326757.46</v>
      </c>
      <c r="C50" s="96"/>
      <c r="D50" s="197"/>
      <c r="E50" s="61"/>
      <c r="F50" s="198">
        <f>F41+F49+F18+F45</f>
        <v>6495</v>
      </c>
      <c r="G50" s="199"/>
      <c r="H50" s="57">
        <f>H22</f>
        <v>0</v>
      </c>
      <c r="I50" s="62"/>
      <c r="J50" s="185"/>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row>
    <row r="51" spans="1:114" s="10" customFormat="1" ht="54.75" customHeight="1">
      <c r="A51" s="26" t="s">
        <v>41</v>
      </c>
      <c r="B51" s="179">
        <f>7155+986+2310+5217</f>
        <v>15668</v>
      </c>
      <c r="C51" s="424" t="s">
        <v>256</v>
      </c>
      <c r="D51" s="59">
        <v>617</v>
      </c>
      <c r="E51" s="44" t="s">
        <v>213</v>
      </c>
      <c r="F51" s="43"/>
      <c r="G51" s="97"/>
      <c r="H51" s="60"/>
      <c r="I51" s="60"/>
      <c r="J51" s="11"/>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row>
    <row r="52" spans="1:114" s="13" customFormat="1" ht="30.75" customHeight="1">
      <c r="A52" s="27" t="s">
        <v>20</v>
      </c>
      <c r="B52" s="48">
        <f>SUM(B51:B51)</f>
        <v>15668</v>
      </c>
      <c r="C52" s="424"/>
      <c r="D52" s="57">
        <f>D51</f>
        <v>617</v>
      </c>
      <c r="E52" s="61"/>
      <c r="F52" s="74">
        <f>F51</f>
        <v>0</v>
      </c>
      <c r="G52" s="98"/>
      <c r="H52" s="60"/>
      <c r="I52" s="60"/>
      <c r="J52" s="11"/>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row>
    <row r="53" spans="1:114" s="10" customFormat="1" ht="29.25" customHeight="1">
      <c r="A53" s="26" t="s">
        <v>56</v>
      </c>
      <c r="B53" s="47">
        <f>708+5982.8+5430+674+8952+2240+931+700+789.4+426+398.6</f>
        <v>27231.8</v>
      </c>
      <c r="C53" s="424" t="s">
        <v>245</v>
      </c>
      <c r="D53" s="59">
        <v>617</v>
      </c>
      <c r="E53" s="62"/>
      <c r="F53" s="43"/>
      <c r="G53" s="97"/>
      <c r="H53" s="60"/>
      <c r="I53" s="60"/>
      <c r="J53" s="11"/>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row>
    <row r="54" spans="1:114" s="13" customFormat="1" ht="26.25" customHeight="1">
      <c r="A54" s="27" t="s">
        <v>20</v>
      </c>
      <c r="B54" s="48">
        <f>SUM(B53:B53)</f>
        <v>27231.8</v>
      </c>
      <c r="C54" s="424"/>
      <c r="D54" s="57">
        <f>D53</f>
        <v>617</v>
      </c>
      <c r="E54" s="61"/>
      <c r="F54" s="74">
        <f>F53</f>
        <v>0</v>
      </c>
      <c r="G54" s="98"/>
      <c r="H54" s="60"/>
      <c r="I54" s="60"/>
      <c r="J54" s="11"/>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1:114" s="13" customFormat="1" ht="26.25" customHeight="1">
      <c r="A55" s="422" t="s">
        <v>39</v>
      </c>
      <c r="B55" s="425">
        <f>13240+3142.5+9289.6</f>
        <v>25672.1</v>
      </c>
      <c r="C55" s="40" t="s">
        <v>84</v>
      </c>
      <c r="D55" s="59">
        <f>190+617+100</f>
        <v>907</v>
      </c>
      <c r="E55" s="45" t="s">
        <v>213</v>
      </c>
      <c r="F55" s="74"/>
      <c r="G55" s="98"/>
      <c r="H55" s="60"/>
      <c r="I55" s="60"/>
      <c r="J55" s="11"/>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1:114" s="13" customFormat="1" ht="94.5" customHeight="1">
      <c r="A56" s="422"/>
      <c r="B56" s="425"/>
      <c r="C56" s="120" t="s">
        <v>269</v>
      </c>
      <c r="D56" s="166">
        <f>20797+5329.7+21045.33+33235</f>
        <v>80407.03</v>
      </c>
      <c r="E56" s="156" t="s">
        <v>196</v>
      </c>
      <c r="F56" s="43">
        <v>812</v>
      </c>
      <c r="G56" s="97" t="s">
        <v>110</v>
      </c>
      <c r="H56" s="60"/>
      <c r="I56" s="60"/>
      <c r="J56" s="11"/>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1:114" s="13" customFormat="1" ht="20.25" customHeight="1">
      <c r="A57" s="27" t="s">
        <v>20</v>
      </c>
      <c r="B57" s="48">
        <f>SUM(B55:B55)</f>
        <v>25672.1</v>
      </c>
      <c r="C57" s="94"/>
      <c r="D57" s="57">
        <f>SUM(D55:D56)</f>
        <v>81314.03</v>
      </c>
      <c r="E57" s="61"/>
      <c r="F57" s="74">
        <f>F56</f>
        <v>812</v>
      </c>
      <c r="G57" s="98"/>
      <c r="H57" s="60"/>
      <c r="I57" s="60"/>
      <c r="J57" s="11"/>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1:114" s="10" customFormat="1" ht="63.75" customHeight="1">
      <c r="A58" s="44" t="s">
        <v>38</v>
      </c>
      <c r="B58" s="200">
        <f>5000+5300</f>
        <v>10300</v>
      </c>
      <c r="C58" s="169" t="s">
        <v>235</v>
      </c>
      <c r="D58" s="166">
        <f>190+617+210+100</f>
        <v>1117</v>
      </c>
      <c r="E58" s="78" t="s">
        <v>213</v>
      </c>
      <c r="F58" s="43">
        <f>333.5+464</f>
        <v>797.5</v>
      </c>
      <c r="G58" s="97" t="s">
        <v>110</v>
      </c>
      <c r="H58" s="78"/>
      <c r="I58" s="1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row>
    <row r="59" spans="1:114" s="13" customFormat="1" ht="16.5" customHeight="1">
      <c r="A59" s="27" t="s">
        <v>20</v>
      </c>
      <c r="B59" s="48">
        <f>SUM(B58:B58)</f>
        <v>10300</v>
      </c>
      <c r="C59" s="94"/>
      <c r="D59" s="57">
        <f>D58</f>
        <v>1117</v>
      </c>
      <c r="E59" s="86"/>
      <c r="F59" s="74">
        <f>F58</f>
        <v>797.5</v>
      </c>
      <c r="G59" s="98"/>
      <c r="H59" s="86"/>
      <c r="I59" s="60"/>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1:114" s="13" customFormat="1" ht="61.5" customHeight="1">
      <c r="A60" s="21" t="s">
        <v>40</v>
      </c>
      <c r="B60" s="47">
        <v>200</v>
      </c>
      <c r="C60" s="40" t="s">
        <v>223</v>
      </c>
      <c r="D60" s="59">
        <f>190+617+100</f>
        <v>907</v>
      </c>
      <c r="E60" s="78" t="s">
        <v>213</v>
      </c>
      <c r="F60" s="43">
        <v>377</v>
      </c>
      <c r="G60" s="97" t="s">
        <v>110</v>
      </c>
      <c r="H60" s="86"/>
      <c r="I60" s="60"/>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1:114" s="13" customFormat="1" ht="17.25" customHeight="1">
      <c r="A61" s="27" t="s">
        <v>20</v>
      </c>
      <c r="B61" s="48">
        <f>SUM(B60:B60)</f>
        <v>200</v>
      </c>
      <c r="C61" s="96"/>
      <c r="D61" s="61">
        <f>SUM(D60)</f>
        <v>907</v>
      </c>
      <c r="E61" s="61"/>
      <c r="F61" s="57">
        <f>F60</f>
        <v>377</v>
      </c>
      <c r="G61" s="98"/>
      <c r="H61" s="86"/>
      <c r="I61" s="6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1:114" s="13" customFormat="1" ht="62.25" customHeight="1">
      <c r="A62" s="44" t="s">
        <v>42</v>
      </c>
      <c r="B62" s="179"/>
      <c r="C62" s="40" t="s">
        <v>84</v>
      </c>
      <c r="D62" s="166">
        <f>330+35+617+100</f>
        <v>1082</v>
      </c>
      <c r="E62" s="45" t="s">
        <v>213</v>
      </c>
      <c r="F62" s="59">
        <f>348</f>
        <v>348</v>
      </c>
      <c r="G62" s="97" t="s">
        <v>110</v>
      </c>
      <c r="H62" s="86"/>
      <c r="I62" s="60"/>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row>
    <row r="63" spans="1:114" s="13" customFormat="1" ht="17.25" customHeight="1">
      <c r="A63" s="27" t="s">
        <v>20</v>
      </c>
      <c r="B63" s="48">
        <f>SUM(B62:B62)</f>
        <v>0</v>
      </c>
      <c r="C63" s="96"/>
      <c r="D63" s="57">
        <f>SUM(D62)</f>
        <v>1082</v>
      </c>
      <c r="E63" s="61"/>
      <c r="F63" s="57">
        <f>F62</f>
        <v>348</v>
      </c>
      <c r="G63" s="98"/>
      <c r="H63" s="86"/>
      <c r="I63" s="60"/>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row>
    <row r="64" spans="1:114" s="10" customFormat="1" ht="63" customHeight="1">
      <c r="A64" s="44" t="s">
        <v>29</v>
      </c>
      <c r="B64" s="179">
        <f>1516+3954+420</f>
        <v>5890</v>
      </c>
      <c r="C64" s="424" t="s">
        <v>216</v>
      </c>
      <c r="D64" s="45">
        <f>190+617+100</f>
        <v>907</v>
      </c>
      <c r="E64" s="59" t="s">
        <v>213</v>
      </c>
      <c r="F64" s="45">
        <f>246.5+1841.5</f>
        <v>2088</v>
      </c>
      <c r="G64" s="97" t="s">
        <v>110</v>
      </c>
      <c r="H64" s="43"/>
      <c r="I64" s="1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row>
    <row r="65" spans="1:114" s="13" customFormat="1" ht="33.75" customHeight="1">
      <c r="A65" s="27" t="s">
        <v>20</v>
      </c>
      <c r="B65" s="194">
        <f>SUM(B64:B64)</f>
        <v>5890</v>
      </c>
      <c r="C65" s="424"/>
      <c r="D65" s="57">
        <f>SUM(D64)</f>
        <v>907</v>
      </c>
      <c r="E65" s="61"/>
      <c r="F65" s="57">
        <f>F64</f>
        <v>2088</v>
      </c>
      <c r="G65" s="98"/>
      <c r="H65" s="74">
        <f>H64</f>
        <v>0</v>
      </c>
      <c r="I65" s="60"/>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row>
    <row r="66" spans="1:114" s="13" customFormat="1" ht="174.75" customHeight="1" hidden="1">
      <c r="A66" s="27" t="s">
        <v>20</v>
      </c>
      <c r="B66" s="48">
        <f>SUM(B64:B65)</f>
        <v>11780</v>
      </c>
      <c r="C66" s="94"/>
      <c r="D66" s="61"/>
      <c r="E66" s="57"/>
      <c r="F66" s="61"/>
      <c r="G66" s="98"/>
      <c r="H66" s="86"/>
      <c r="I66" s="86"/>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row>
    <row r="67" spans="1:114" s="13" customFormat="1" ht="16.5" customHeight="1" hidden="1">
      <c r="A67" s="21" t="s">
        <v>37</v>
      </c>
      <c r="B67" s="47">
        <v>10999</v>
      </c>
      <c r="C67" s="40" t="s">
        <v>52</v>
      </c>
      <c r="D67" s="61"/>
      <c r="E67" s="57"/>
      <c r="F67" s="61"/>
      <c r="G67" s="98"/>
      <c r="H67" s="86"/>
      <c r="I67" s="86"/>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row>
    <row r="68" spans="1:114" s="10" customFormat="1" ht="17.25" customHeight="1" hidden="1">
      <c r="A68" s="21" t="s">
        <v>37</v>
      </c>
      <c r="B68" s="47">
        <v>1219</v>
      </c>
      <c r="C68" s="40" t="s">
        <v>43</v>
      </c>
      <c r="D68" s="45"/>
      <c r="E68" s="57"/>
      <c r="F68" s="45"/>
      <c r="G68" s="97"/>
      <c r="H68" s="78"/>
      <c r="I68" s="1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row>
    <row r="69" spans="1:114" s="13" customFormat="1" ht="16.5" customHeight="1" hidden="1">
      <c r="A69" s="27" t="s">
        <v>20</v>
      </c>
      <c r="B69" s="48">
        <f>SUM(B67:B68)</f>
        <v>12218</v>
      </c>
      <c r="C69" s="94"/>
      <c r="D69" s="61"/>
      <c r="E69" s="57"/>
      <c r="F69" s="61"/>
      <c r="G69" s="98"/>
      <c r="H69" s="86"/>
      <c r="I69" s="86"/>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row>
    <row r="70" spans="1:114" s="13" customFormat="1" ht="16.5" customHeight="1" hidden="1">
      <c r="A70" s="21" t="s">
        <v>30</v>
      </c>
      <c r="B70" s="181">
        <v>3133</v>
      </c>
      <c r="C70" s="40" t="s">
        <v>44</v>
      </c>
      <c r="D70" s="45"/>
      <c r="E70" s="57"/>
      <c r="F70" s="61"/>
      <c r="G70" s="98"/>
      <c r="H70" s="86"/>
      <c r="I70" s="86"/>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row>
    <row r="71" spans="1:114" s="13" customFormat="1" ht="18.75" customHeight="1" hidden="1">
      <c r="A71" s="21" t="s">
        <v>30</v>
      </c>
      <c r="B71" s="181">
        <v>120</v>
      </c>
      <c r="C71" s="40" t="s">
        <v>36</v>
      </c>
      <c r="D71" s="45"/>
      <c r="E71" s="57"/>
      <c r="F71" s="61"/>
      <c r="G71" s="98"/>
      <c r="H71" s="86"/>
      <c r="I71" s="86"/>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row>
    <row r="72" spans="1:114" s="13" customFormat="1" ht="18.75" customHeight="1" hidden="1">
      <c r="A72" s="21" t="s">
        <v>30</v>
      </c>
      <c r="B72" s="181">
        <v>210</v>
      </c>
      <c r="C72" s="40" t="s">
        <v>36</v>
      </c>
      <c r="D72" s="45"/>
      <c r="E72" s="57"/>
      <c r="F72" s="61"/>
      <c r="G72" s="98"/>
      <c r="H72" s="86"/>
      <c r="I72" s="86"/>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row>
    <row r="73" spans="1:114" s="13" customFormat="1" ht="16.5" customHeight="1" hidden="1">
      <c r="A73" s="27" t="s">
        <v>20</v>
      </c>
      <c r="B73" s="196">
        <f>SUM(B70:B72)</f>
        <v>3463</v>
      </c>
      <c r="C73" s="94"/>
      <c r="D73" s="61"/>
      <c r="E73" s="57"/>
      <c r="F73" s="61"/>
      <c r="G73" s="98"/>
      <c r="H73" s="86"/>
      <c r="I73" s="86"/>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row>
    <row r="74" spans="1:114" s="13" customFormat="1" ht="17.25" customHeight="1" hidden="1">
      <c r="A74" s="21" t="s">
        <v>31</v>
      </c>
      <c r="B74" s="201">
        <v>60</v>
      </c>
      <c r="C74" s="40" t="s">
        <v>48</v>
      </c>
      <c r="D74" s="201">
        <v>149639.87</v>
      </c>
      <c r="E74" s="62" t="s">
        <v>47</v>
      </c>
      <c r="F74" s="59"/>
      <c r="G74" s="98"/>
      <c r="H74" s="21"/>
      <c r="I74" s="86"/>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row>
    <row r="75" spans="1:114" s="13" customFormat="1" ht="17.25" customHeight="1" hidden="1">
      <c r="A75" s="21" t="s">
        <v>31</v>
      </c>
      <c r="B75" s="201">
        <v>3951.33</v>
      </c>
      <c r="C75" s="40" t="s">
        <v>51</v>
      </c>
      <c r="D75" s="201"/>
      <c r="E75" s="62"/>
      <c r="F75" s="59"/>
      <c r="G75" s="98"/>
      <c r="H75" s="21"/>
      <c r="I75" s="86"/>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row>
    <row r="76" spans="1:114" s="10" customFormat="1" ht="92.25" customHeight="1">
      <c r="A76" s="44" t="s">
        <v>37</v>
      </c>
      <c r="B76" s="179">
        <f>5803+3820+16500+2432+2570+2365+22716+5421+180</f>
        <v>61807</v>
      </c>
      <c r="C76" s="434" t="s">
        <v>257</v>
      </c>
      <c r="D76" s="45">
        <f>190+617+345+100</f>
        <v>1252</v>
      </c>
      <c r="E76" s="59" t="s">
        <v>213</v>
      </c>
      <c r="F76" s="45">
        <f>652.5+420.5</f>
        <v>1073</v>
      </c>
      <c r="G76" s="97" t="s">
        <v>110</v>
      </c>
      <c r="H76" s="78"/>
      <c r="I76" s="1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row>
    <row r="77" spans="1:114" s="13" customFormat="1" ht="68.25" customHeight="1">
      <c r="A77" s="27" t="s">
        <v>20</v>
      </c>
      <c r="B77" s="48">
        <f>SUM(B76:B76)</f>
        <v>61807</v>
      </c>
      <c r="C77" s="434"/>
      <c r="D77" s="57">
        <f>SUM(D76)</f>
        <v>1252</v>
      </c>
      <c r="E77" s="61"/>
      <c r="F77" s="57">
        <f>F76</f>
        <v>1073</v>
      </c>
      <c r="G77" s="98"/>
      <c r="H77" s="86"/>
      <c r="I77" s="60"/>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row>
    <row r="78" spans="1:114" s="10" customFormat="1" ht="78" customHeight="1">
      <c r="A78" s="44" t="s">
        <v>30</v>
      </c>
      <c r="B78" s="179">
        <f>555+15220+33700</f>
        <v>49475</v>
      </c>
      <c r="C78" s="40" t="s">
        <v>246</v>
      </c>
      <c r="D78" s="45">
        <f>190+617+100</f>
        <v>907</v>
      </c>
      <c r="E78" s="59" t="s">
        <v>213</v>
      </c>
      <c r="F78" s="45">
        <f>304.5+290+246.5</f>
        <v>841</v>
      </c>
      <c r="G78" s="97" t="s">
        <v>110</v>
      </c>
      <c r="H78" s="78"/>
      <c r="I78" s="1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row>
    <row r="79" spans="1:114" s="13" customFormat="1" ht="18" customHeight="1">
      <c r="A79" s="27" t="s">
        <v>20</v>
      </c>
      <c r="B79" s="48">
        <f>SUM(B78:B78)</f>
        <v>49475</v>
      </c>
      <c r="C79" s="96"/>
      <c r="D79" s="57">
        <f>D78</f>
        <v>907</v>
      </c>
      <c r="E79" s="61"/>
      <c r="F79" s="57">
        <f>F78</f>
        <v>841</v>
      </c>
      <c r="G79" s="98"/>
      <c r="H79" s="86"/>
      <c r="I79" s="60"/>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row>
    <row r="80" spans="1:114" s="10" customFormat="1" ht="63" customHeight="1">
      <c r="A80" s="21" t="s">
        <v>57</v>
      </c>
      <c r="B80" s="179">
        <v>104</v>
      </c>
      <c r="C80" s="40" t="s">
        <v>271</v>
      </c>
      <c r="D80" s="45">
        <f>190+617+100</f>
        <v>907</v>
      </c>
      <c r="E80" s="59" t="s">
        <v>213</v>
      </c>
      <c r="F80" s="45">
        <f>275.5+261+14.5</f>
        <v>551</v>
      </c>
      <c r="G80" s="97" t="s">
        <v>110</v>
      </c>
      <c r="H80" s="78"/>
      <c r="I80" s="1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row>
    <row r="81" spans="1:114" s="13" customFormat="1" ht="24" customHeight="1">
      <c r="A81" s="27" t="s">
        <v>20</v>
      </c>
      <c r="B81" s="48">
        <f>SUM(B80:B80)</f>
        <v>104</v>
      </c>
      <c r="C81" s="96"/>
      <c r="D81" s="57">
        <f>SUM(D80)</f>
        <v>907</v>
      </c>
      <c r="E81" s="61"/>
      <c r="F81" s="57">
        <f>F80</f>
        <v>551</v>
      </c>
      <c r="G81" s="98"/>
      <c r="H81" s="86"/>
      <c r="I81" s="60"/>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row>
    <row r="82" spans="1:114" s="13" customFormat="1" ht="17.25" customHeight="1">
      <c r="A82" s="422" t="s">
        <v>31</v>
      </c>
      <c r="B82" s="425">
        <f>6531.84+1507.7+17806.6+2130.39+1184.8+2456.26+2500+500+5792.8+340+796+2746.4+200</f>
        <v>44492.79</v>
      </c>
      <c r="C82" s="40" t="s">
        <v>83</v>
      </c>
      <c r="D82" s="430">
        <f>190+617+100</f>
        <v>907</v>
      </c>
      <c r="E82" s="435" t="s">
        <v>213</v>
      </c>
      <c r="F82" s="57"/>
      <c r="G82" s="98"/>
      <c r="H82" s="86"/>
      <c r="I82" s="60"/>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row>
    <row r="83" spans="1:114" s="10" customFormat="1" ht="106.5" customHeight="1">
      <c r="A83" s="422"/>
      <c r="B83" s="425"/>
      <c r="C83" s="424" t="s">
        <v>258</v>
      </c>
      <c r="D83" s="430"/>
      <c r="E83" s="435"/>
      <c r="F83" s="45">
        <v>1087.5</v>
      </c>
      <c r="G83" s="97" t="s">
        <v>110</v>
      </c>
      <c r="H83" s="78"/>
      <c r="I83" s="1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row>
    <row r="84" spans="1:114" s="13" customFormat="1" ht="76.5" customHeight="1">
      <c r="A84" s="27" t="s">
        <v>20</v>
      </c>
      <c r="B84" s="48">
        <f>SUM(B82:B82)</f>
        <v>44492.79</v>
      </c>
      <c r="C84" s="424"/>
      <c r="D84" s="57">
        <f>D83+D82</f>
        <v>907</v>
      </c>
      <c r="E84" s="61"/>
      <c r="F84" s="57">
        <f>F83</f>
        <v>1087.5</v>
      </c>
      <c r="G84" s="98"/>
      <c r="H84" s="86"/>
      <c r="I84" s="60"/>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row>
    <row r="85" spans="1:114" s="13" customFormat="1" ht="30.75" customHeight="1">
      <c r="A85" s="422" t="s">
        <v>58</v>
      </c>
      <c r="B85" s="436">
        <v>12624.72</v>
      </c>
      <c r="C85" s="202" t="s">
        <v>83</v>
      </c>
      <c r="D85" s="59">
        <f>190+617+100</f>
        <v>907</v>
      </c>
      <c r="E85" s="45" t="s">
        <v>213</v>
      </c>
      <c r="F85" s="57"/>
      <c r="G85" s="98"/>
      <c r="H85" s="86"/>
      <c r="I85" s="60"/>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row>
    <row r="86" spans="1:114" s="13" customFormat="1" ht="62.25" customHeight="1">
      <c r="A86" s="422"/>
      <c r="B86" s="437"/>
      <c r="C86" s="40" t="s">
        <v>43</v>
      </c>
      <c r="D86" s="181">
        <v>57600</v>
      </c>
      <c r="E86" s="156" t="s">
        <v>196</v>
      </c>
      <c r="F86" s="59">
        <f>261+362.5</f>
        <v>623.5</v>
      </c>
      <c r="G86" s="97" t="s">
        <v>110</v>
      </c>
      <c r="H86" s="21"/>
      <c r="I86" s="86"/>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row>
    <row r="87" spans="1:114" s="13" customFormat="1" ht="16.5" customHeight="1">
      <c r="A87" s="27" t="s">
        <v>20</v>
      </c>
      <c r="B87" s="203">
        <f>B85</f>
        <v>12624.72</v>
      </c>
      <c r="C87" s="94"/>
      <c r="D87" s="203">
        <f>SUM(D85:D86)</f>
        <v>58507</v>
      </c>
      <c r="E87" s="57"/>
      <c r="F87" s="61">
        <f>F86</f>
        <v>623.5</v>
      </c>
      <c r="G87" s="98"/>
      <c r="H87" s="86"/>
      <c r="I87" s="86"/>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row>
    <row r="88" spans="1:114" s="13" customFormat="1" ht="22.5" customHeight="1">
      <c r="A88" s="422" t="s">
        <v>33</v>
      </c>
      <c r="B88" s="438">
        <f>2817.12+7270</f>
        <v>10087.119999999999</v>
      </c>
      <c r="C88" s="202" t="s">
        <v>83</v>
      </c>
      <c r="D88" s="201">
        <f>617+100</f>
        <v>717</v>
      </c>
      <c r="E88" s="45" t="s">
        <v>213</v>
      </c>
      <c r="F88" s="61"/>
      <c r="G88" s="98"/>
      <c r="H88" s="86"/>
      <c r="I88" s="86"/>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row>
    <row r="89" spans="1:114" s="13" customFormat="1" ht="60.75" customHeight="1">
      <c r="A89" s="422"/>
      <c r="B89" s="438"/>
      <c r="C89" s="40" t="s">
        <v>248</v>
      </c>
      <c r="D89" s="181">
        <v>7999.68</v>
      </c>
      <c r="E89" s="44" t="s">
        <v>217</v>
      </c>
      <c r="F89" s="59">
        <v>319</v>
      </c>
      <c r="G89" s="97" t="s">
        <v>110</v>
      </c>
      <c r="H89" s="21"/>
      <c r="I89" s="86"/>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row>
    <row r="90" spans="1:114" s="13" customFormat="1" ht="16.5" customHeight="1">
      <c r="A90" s="27" t="s">
        <v>20</v>
      </c>
      <c r="B90" s="203">
        <f>SUM(B88)</f>
        <v>10087.119999999999</v>
      </c>
      <c r="C90" s="94"/>
      <c r="D90" s="203">
        <f>SUM(D88:D89)</f>
        <v>8716.68</v>
      </c>
      <c r="E90" s="57"/>
      <c r="F90" s="61">
        <f>F89</f>
        <v>319</v>
      </c>
      <c r="G90" s="98"/>
      <c r="H90" s="86"/>
      <c r="I90" s="86"/>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1:114" s="13" customFormat="1" ht="58.5" customHeight="1">
      <c r="A91" s="422" t="s">
        <v>45</v>
      </c>
      <c r="B91" s="181"/>
      <c r="C91" s="40" t="s">
        <v>212</v>
      </c>
      <c r="D91" s="166">
        <v>50630</v>
      </c>
      <c r="E91" s="156" t="s">
        <v>196</v>
      </c>
      <c r="F91" s="59">
        <f>362.5+377+406</f>
        <v>1145.5</v>
      </c>
      <c r="G91" s="97" t="s">
        <v>110</v>
      </c>
      <c r="H91" s="86"/>
      <c r="I91" s="86"/>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1:114" s="13" customFormat="1" ht="31.5" customHeight="1">
      <c r="A92" s="422"/>
      <c r="B92" s="166">
        <v>90</v>
      </c>
      <c r="C92" s="40" t="s">
        <v>224</v>
      </c>
      <c r="D92" s="166">
        <f>190+617+100</f>
        <v>907</v>
      </c>
      <c r="E92" s="156" t="s">
        <v>213</v>
      </c>
      <c r="F92" s="59"/>
      <c r="G92" s="97"/>
      <c r="H92" s="86"/>
      <c r="I92" s="86"/>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1:114" s="13" customFormat="1" ht="16.5" customHeight="1">
      <c r="A93" s="27" t="s">
        <v>20</v>
      </c>
      <c r="B93" s="196">
        <f>B92</f>
        <v>90</v>
      </c>
      <c r="C93" s="94"/>
      <c r="D93" s="61">
        <f>SUM(D91:D92)</f>
        <v>51537</v>
      </c>
      <c r="E93" s="57"/>
      <c r="F93" s="61">
        <f>F92+F91</f>
        <v>1145.5</v>
      </c>
      <c r="G93" s="98"/>
      <c r="H93" s="86"/>
      <c r="I93" s="86"/>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1:114" s="13" customFormat="1" ht="68.25" customHeight="1">
      <c r="A94" s="44" t="s">
        <v>59</v>
      </c>
      <c r="B94" s="181">
        <f>540+10971.8</f>
        <v>11511.8</v>
      </c>
      <c r="C94" s="40" t="s">
        <v>259</v>
      </c>
      <c r="D94" s="181">
        <f>190+617+120+100</f>
        <v>1027</v>
      </c>
      <c r="E94" s="44" t="s">
        <v>213</v>
      </c>
      <c r="F94" s="59">
        <f>710.5+319</f>
        <v>1029.5</v>
      </c>
      <c r="G94" s="97" t="s">
        <v>110</v>
      </c>
      <c r="H94" s="86"/>
      <c r="I94" s="86"/>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1:114" s="13" customFormat="1" ht="16.5" customHeight="1">
      <c r="A95" s="27" t="s">
        <v>20</v>
      </c>
      <c r="B95" s="196">
        <f>B94</f>
        <v>11511.8</v>
      </c>
      <c r="C95" s="94"/>
      <c r="D95" s="61">
        <f>D94</f>
        <v>1027</v>
      </c>
      <c r="E95" s="59"/>
      <c r="F95" s="61">
        <f>F94</f>
        <v>1029.5</v>
      </c>
      <c r="G95" s="98"/>
      <c r="H95" s="86"/>
      <c r="I95" s="86"/>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1:114" s="13" customFormat="1" ht="60" customHeight="1">
      <c r="A96" s="21" t="s">
        <v>50</v>
      </c>
      <c r="B96" s="181">
        <v>12200</v>
      </c>
      <c r="C96" s="40" t="s">
        <v>243</v>
      </c>
      <c r="D96" s="181">
        <f>617+100</f>
        <v>717</v>
      </c>
      <c r="E96" s="44" t="s">
        <v>213</v>
      </c>
      <c r="F96" s="59">
        <v>174</v>
      </c>
      <c r="G96" s="97" t="s">
        <v>110</v>
      </c>
      <c r="H96" s="86"/>
      <c r="I96" s="86"/>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1:114" s="13" customFormat="1" ht="16.5" customHeight="1">
      <c r="A97" s="27" t="s">
        <v>20</v>
      </c>
      <c r="B97" s="196">
        <f>SUM(B96)</f>
        <v>12200</v>
      </c>
      <c r="C97" s="94"/>
      <c r="D97" s="61">
        <f>D96</f>
        <v>717</v>
      </c>
      <c r="E97" s="59"/>
      <c r="F97" s="61">
        <f>F96</f>
        <v>174</v>
      </c>
      <c r="G97" s="98"/>
      <c r="H97" s="86"/>
      <c r="I97" s="86"/>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row>
    <row r="98" spans="1:114" s="13" customFormat="1" ht="75.75" customHeight="1">
      <c r="A98" s="44" t="s">
        <v>60</v>
      </c>
      <c r="B98" s="181">
        <f>7980+2050+4044</f>
        <v>14074</v>
      </c>
      <c r="C98" s="40" t="s">
        <v>260</v>
      </c>
      <c r="D98" s="181">
        <f>190+617+100</f>
        <v>907</v>
      </c>
      <c r="E98" s="44" t="s">
        <v>213</v>
      </c>
      <c r="F98" s="59">
        <f>246.5+319</f>
        <v>565.5</v>
      </c>
      <c r="G98" s="97" t="s">
        <v>110</v>
      </c>
      <c r="H98" s="86"/>
      <c r="I98" s="86"/>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row>
    <row r="99" spans="1:114" s="13" customFormat="1" ht="20.25" customHeight="1">
      <c r="A99" s="27" t="s">
        <v>20</v>
      </c>
      <c r="B99" s="196">
        <f>SUM(B98)</f>
        <v>14074</v>
      </c>
      <c r="C99" s="94"/>
      <c r="D99" s="61">
        <f>D98</f>
        <v>907</v>
      </c>
      <c r="E99" s="59"/>
      <c r="F99" s="61">
        <f>F98</f>
        <v>565.5</v>
      </c>
      <c r="G99" s="98"/>
      <c r="H99" s="86"/>
      <c r="I99" s="86"/>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row>
    <row r="100" spans="1:114" s="13" customFormat="1" ht="58.5" customHeight="1">
      <c r="A100" s="21" t="s">
        <v>61</v>
      </c>
      <c r="B100" s="166"/>
      <c r="C100" s="40" t="s">
        <v>36</v>
      </c>
      <c r="D100" s="166">
        <f>190+617+100</f>
        <v>907</v>
      </c>
      <c r="E100" s="44" t="s">
        <v>213</v>
      </c>
      <c r="F100" s="59">
        <v>319</v>
      </c>
      <c r="G100" s="97" t="s">
        <v>110</v>
      </c>
      <c r="H100" s="86"/>
      <c r="I100" s="86"/>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row>
    <row r="101" spans="1:114" s="13" customFormat="1" ht="16.5" customHeight="1">
      <c r="A101" s="27" t="s">
        <v>20</v>
      </c>
      <c r="B101" s="196">
        <f>B100</f>
        <v>0</v>
      </c>
      <c r="C101" s="94"/>
      <c r="D101" s="61">
        <f>D100</f>
        <v>907</v>
      </c>
      <c r="E101" s="59"/>
      <c r="F101" s="61">
        <f>F100</f>
        <v>319</v>
      </c>
      <c r="G101" s="98"/>
      <c r="H101" s="86"/>
      <c r="I101" s="86"/>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row>
    <row r="102" spans="1:114" s="13" customFormat="1" ht="80.25" customHeight="1">
      <c r="A102" s="422" t="s">
        <v>62</v>
      </c>
      <c r="B102" s="438">
        <f>11005+8600+722+340</f>
        <v>20667</v>
      </c>
      <c r="C102" s="120" t="s">
        <v>270</v>
      </c>
      <c r="D102" s="61"/>
      <c r="E102" s="59"/>
      <c r="F102" s="61"/>
      <c r="G102" s="98"/>
      <c r="H102" s="86"/>
      <c r="I102" s="86"/>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1:114" s="13" customFormat="1" ht="62.25" customHeight="1">
      <c r="A103" s="422"/>
      <c r="B103" s="438"/>
      <c r="C103" s="40" t="s">
        <v>84</v>
      </c>
      <c r="D103" s="181">
        <f>190+617+100</f>
        <v>907</v>
      </c>
      <c r="E103" s="44" t="s">
        <v>213</v>
      </c>
      <c r="F103" s="59">
        <v>1566</v>
      </c>
      <c r="G103" s="97" t="s">
        <v>110</v>
      </c>
      <c r="H103" s="86"/>
      <c r="I103" s="86"/>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1:114" s="13" customFormat="1" ht="16.5" customHeight="1">
      <c r="A104" s="27" t="s">
        <v>20</v>
      </c>
      <c r="B104" s="196">
        <f>SUM(B102)</f>
        <v>20667</v>
      </c>
      <c r="C104" s="94"/>
      <c r="D104" s="61">
        <f>SUM(D103)</f>
        <v>907</v>
      </c>
      <c r="E104" s="57"/>
      <c r="F104" s="61">
        <f>F103</f>
        <v>1566</v>
      </c>
      <c r="G104" s="98"/>
      <c r="H104" s="86"/>
      <c r="I104" s="86"/>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1:114" s="13" customFormat="1" ht="59.25" customHeight="1">
      <c r="A105" s="21" t="s">
        <v>46</v>
      </c>
      <c r="B105" s="181">
        <v>12843.8</v>
      </c>
      <c r="C105" s="40" t="s">
        <v>251</v>
      </c>
      <c r="D105" s="181">
        <f>617+190+100</f>
        <v>907</v>
      </c>
      <c r="E105" s="44" t="s">
        <v>213</v>
      </c>
      <c r="F105" s="59">
        <v>739.5</v>
      </c>
      <c r="G105" s="97" t="s">
        <v>110</v>
      </c>
      <c r="H105" s="86"/>
      <c r="I105" s="86"/>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row>
    <row r="106" spans="1:114" s="13" customFormat="1" ht="16.5" customHeight="1">
      <c r="A106" s="27" t="s">
        <v>20</v>
      </c>
      <c r="B106" s="196">
        <f>B105</f>
        <v>12843.8</v>
      </c>
      <c r="C106" s="94"/>
      <c r="D106" s="61">
        <f>D105</f>
        <v>907</v>
      </c>
      <c r="E106" s="57"/>
      <c r="F106" s="61">
        <f>F105</f>
        <v>739.5</v>
      </c>
      <c r="G106" s="98"/>
      <c r="H106" s="86"/>
      <c r="I106" s="86"/>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row>
    <row r="107" spans="1:114" s="13" customFormat="1" ht="62.25" customHeight="1">
      <c r="A107" s="21" t="s">
        <v>63</v>
      </c>
      <c r="B107" s="181"/>
      <c r="C107" s="40" t="s">
        <v>84</v>
      </c>
      <c r="D107" s="181">
        <f>190+617+100</f>
        <v>907</v>
      </c>
      <c r="E107" s="44" t="s">
        <v>213</v>
      </c>
      <c r="F107" s="59">
        <f>348+507.5</f>
        <v>855.5</v>
      </c>
      <c r="G107" s="97" t="s">
        <v>110</v>
      </c>
      <c r="H107" s="86"/>
      <c r="I107" s="86"/>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row>
    <row r="108" spans="1:114" s="13" customFormat="1" ht="16.5" customHeight="1">
      <c r="A108" s="27" t="s">
        <v>20</v>
      </c>
      <c r="B108" s="196">
        <f>B107</f>
        <v>0</v>
      </c>
      <c r="C108" s="94"/>
      <c r="D108" s="61">
        <f>SUM(D107)</f>
        <v>907</v>
      </c>
      <c r="E108" s="57"/>
      <c r="F108" s="61">
        <f>F107</f>
        <v>855.5</v>
      </c>
      <c r="G108" s="98"/>
      <c r="H108" s="86"/>
      <c r="I108" s="86"/>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1:114" s="13" customFormat="1" ht="43.5" customHeight="1">
      <c r="A109" s="21" t="s">
        <v>272</v>
      </c>
      <c r="B109" s="181"/>
      <c r="C109" s="40" t="s">
        <v>273</v>
      </c>
      <c r="D109" s="181">
        <v>238487.58</v>
      </c>
      <c r="E109" s="157" t="s">
        <v>274</v>
      </c>
      <c r="F109" s="59"/>
      <c r="G109" s="98"/>
      <c r="H109" s="86"/>
      <c r="I109" s="86"/>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1:114" s="13" customFormat="1" ht="16.5" customHeight="1">
      <c r="A110" s="27" t="s">
        <v>20</v>
      </c>
      <c r="B110" s="196">
        <f>B109</f>
        <v>0</v>
      </c>
      <c r="C110" s="94"/>
      <c r="D110" s="61">
        <f>D109</f>
        <v>238487.58</v>
      </c>
      <c r="E110" s="57"/>
      <c r="F110" s="61"/>
      <c r="G110" s="98"/>
      <c r="H110" s="86"/>
      <c r="I110" s="86"/>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1:114" s="13" customFormat="1" ht="19.5" customHeight="1">
      <c r="A111" s="21" t="s">
        <v>54</v>
      </c>
      <c r="B111" s="181"/>
      <c r="C111" s="40"/>
      <c r="D111" s="181"/>
      <c r="E111" s="62"/>
      <c r="F111" s="59"/>
      <c r="G111" s="98"/>
      <c r="H111" s="86"/>
      <c r="I111" s="86"/>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1:114" s="13" customFormat="1" ht="16.5" customHeight="1">
      <c r="A112" s="27" t="s">
        <v>20</v>
      </c>
      <c r="B112" s="196">
        <f>B111</f>
        <v>0</v>
      </c>
      <c r="C112" s="94"/>
      <c r="D112" s="60"/>
      <c r="E112" s="57"/>
      <c r="F112" s="61"/>
      <c r="G112" s="98"/>
      <c r="H112" s="86"/>
      <c r="I112" s="86"/>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1:114" s="13" customFormat="1" ht="19.5" customHeight="1">
      <c r="A113" s="21" t="s">
        <v>66</v>
      </c>
      <c r="B113" s="181"/>
      <c r="C113" s="40"/>
      <c r="D113" s="181"/>
      <c r="E113" s="62"/>
      <c r="F113" s="59"/>
      <c r="G113" s="98"/>
      <c r="H113" s="86"/>
      <c r="I113" s="8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1:114" s="13" customFormat="1" ht="16.5" customHeight="1">
      <c r="A114" s="27" t="s">
        <v>20</v>
      </c>
      <c r="B114" s="196">
        <f>B113</f>
        <v>0</v>
      </c>
      <c r="C114" s="94"/>
      <c r="D114" s="60"/>
      <c r="E114" s="57"/>
      <c r="F114" s="61"/>
      <c r="G114" s="98"/>
      <c r="H114" s="86"/>
      <c r="I114" s="8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1:114" s="13" customFormat="1" ht="19.5" customHeight="1">
      <c r="A115" s="21" t="s">
        <v>67</v>
      </c>
      <c r="B115" s="181"/>
      <c r="C115" s="40"/>
      <c r="D115" s="181"/>
      <c r="E115" s="62"/>
      <c r="F115" s="59"/>
      <c r="G115" s="98"/>
      <c r="H115" s="86"/>
      <c r="I115" s="86"/>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1:114" s="13" customFormat="1" ht="16.5" customHeight="1">
      <c r="A116" s="27" t="s">
        <v>20</v>
      </c>
      <c r="B116" s="196">
        <f>SUM(B115)</f>
        <v>0</v>
      </c>
      <c r="C116" s="94"/>
      <c r="D116" s="60"/>
      <c r="E116" s="57"/>
      <c r="F116" s="61"/>
      <c r="G116" s="98"/>
      <c r="H116" s="86"/>
      <c r="I116" s="86"/>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1:114" s="13" customFormat="1" ht="45.75" customHeight="1">
      <c r="A117" s="21" t="s">
        <v>64</v>
      </c>
      <c r="B117" s="181">
        <f>30.87+6300</f>
        <v>6330.87</v>
      </c>
      <c r="C117" s="40" t="s">
        <v>261</v>
      </c>
      <c r="D117" s="181"/>
      <c r="E117" s="62"/>
      <c r="F117" s="59"/>
      <c r="G117" s="98"/>
      <c r="H117" s="86"/>
      <c r="I117" s="86"/>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row>
    <row r="118" spans="1:114" s="13" customFormat="1" ht="18.75" customHeight="1">
      <c r="A118" s="27" t="s">
        <v>20</v>
      </c>
      <c r="B118" s="196">
        <f>B117</f>
        <v>6330.87</v>
      </c>
      <c r="C118" s="94"/>
      <c r="D118" s="60"/>
      <c r="E118" s="57"/>
      <c r="F118" s="61"/>
      <c r="G118" s="98"/>
      <c r="H118" s="86"/>
      <c r="I118" s="86"/>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1:114" s="13" customFormat="1" ht="37.5" customHeight="1">
      <c r="A119" s="21" t="s">
        <v>56</v>
      </c>
      <c r="B119" s="181"/>
      <c r="C119" s="40"/>
      <c r="D119" s="181"/>
      <c r="E119" s="62"/>
      <c r="F119" s="59"/>
      <c r="G119" s="98"/>
      <c r="H119" s="86"/>
      <c r="I119" s="86"/>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1:114" s="13" customFormat="1" ht="37.5" customHeight="1">
      <c r="A120" s="180" t="s">
        <v>20</v>
      </c>
      <c r="B120" s="181"/>
      <c r="C120" s="40"/>
      <c r="D120" s="181"/>
      <c r="E120" s="62"/>
      <c r="F120" s="59"/>
      <c r="G120" s="98"/>
      <c r="H120" s="86"/>
      <c r="I120" s="86"/>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1:114" s="13" customFormat="1" ht="97.5" customHeight="1">
      <c r="A121" s="21" t="s">
        <v>111</v>
      </c>
      <c r="B121" s="181"/>
      <c r="C121" s="40"/>
      <c r="D121" s="181"/>
      <c r="E121" s="62"/>
      <c r="F121" s="59"/>
      <c r="G121" s="98"/>
      <c r="H121" s="43">
        <v>30072</v>
      </c>
      <c r="I121" s="97" t="s">
        <v>252</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1:114" s="13" customFormat="1" ht="68.25" customHeight="1" thickBot="1">
      <c r="A122" s="27" t="s">
        <v>20</v>
      </c>
      <c r="B122" s="48"/>
      <c r="C122" s="94"/>
      <c r="D122" s="86"/>
      <c r="E122" s="57"/>
      <c r="F122" s="61"/>
      <c r="G122" s="98"/>
      <c r="H122" s="74">
        <f>H121</f>
        <v>30072</v>
      </c>
      <c r="I122" s="86"/>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1:114" s="18" customFormat="1" ht="77.25" customHeight="1" thickBot="1">
      <c r="A123" s="195" t="s">
        <v>70</v>
      </c>
      <c r="B123" s="196">
        <f>SUM(B52+B54+B57+B59+B61+B63+B65+B77+B79+B81+B84+B87+B90+B93+B95+B97+B99+B101+B104+B106+B108+B110+B112+B114+B116+B118+B122)</f>
        <v>341270</v>
      </c>
      <c r="C123" s="196"/>
      <c r="D123" s="196">
        <f>SUM(D52+D54+D57+D59+D61+D63+D65+D77+D79+D81+D84+D87+D90+D93+D95+D97+D99+D101+D104+D106+D108+D110+D112+D114+D116+D118+D122)</f>
        <v>454061.29</v>
      </c>
      <c r="E123" s="196"/>
      <c r="F123" s="196">
        <f>F54+F59+F61+F63+F65+F77+F79+H109+F87+F90+F93+F95+F97+F99+F101+F104+F106+F108+F122+F57+F81+F84</f>
        <v>15312</v>
      </c>
      <c r="G123" s="204"/>
      <c r="H123" s="196">
        <f>H65+H122</f>
        <v>30072</v>
      </c>
      <c r="I123" s="196"/>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c r="AS123" s="187"/>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c r="CF123" s="187"/>
      <c r="CG123" s="187"/>
      <c r="CH123" s="187"/>
      <c r="CI123" s="187"/>
      <c r="CJ123" s="187"/>
      <c r="CK123" s="187"/>
      <c r="CL123" s="187"/>
      <c r="CM123" s="187"/>
      <c r="CN123" s="187"/>
      <c r="CO123" s="187"/>
      <c r="CP123" s="187"/>
      <c r="CQ123" s="187"/>
      <c r="CR123" s="187"/>
      <c r="CS123" s="187"/>
      <c r="CT123" s="187"/>
      <c r="CU123" s="187"/>
      <c r="CV123" s="187"/>
      <c r="CW123" s="187"/>
      <c r="CX123" s="187"/>
      <c r="CY123" s="187"/>
      <c r="CZ123" s="187"/>
      <c r="DA123" s="187"/>
      <c r="DB123" s="187"/>
      <c r="DC123" s="187"/>
      <c r="DD123" s="187"/>
      <c r="DE123" s="187"/>
      <c r="DF123" s="187"/>
      <c r="DG123" s="187"/>
      <c r="DH123" s="187"/>
      <c r="DI123" s="187"/>
      <c r="DJ123" s="187"/>
    </row>
    <row r="124" spans="1:114" s="18" customFormat="1" ht="93.75" customHeight="1" thickBot="1">
      <c r="A124" s="27" t="s">
        <v>69</v>
      </c>
      <c r="B124" s="205">
        <f>SUM(B50+B123)</f>
        <v>668027.46</v>
      </c>
      <c r="C124" s="205"/>
      <c r="D124" s="205">
        <f>D123+D50</f>
        <v>454061.29</v>
      </c>
      <c r="E124" s="205"/>
      <c r="F124" s="205">
        <f>F50+F123</f>
        <v>21807</v>
      </c>
      <c r="G124" s="206"/>
      <c r="H124" s="205">
        <f>H50+H123</f>
        <v>30072</v>
      </c>
      <c r="I124" s="205"/>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c r="CF124" s="187"/>
      <c r="CG124" s="187"/>
      <c r="CH124" s="187"/>
      <c r="CI124" s="187"/>
      <c r="CJ124" s="187"/>
      <c r="CK124" s="187"/>
      <c r="CL124" s="187"/>
      <c r="CM124" s="187"/>
      <c r="CN124" s="187"/>
      <c r="CO124" s="187"/>
      <c r="CP124" s="187"/>
      <c r="CQ124" s="187"/>
      <c r="CR124" s="187"/>
      <c r="CS124" s="187"/>
      <c r="CT124" s="187"/>
      <c r="CU124" s="187"/>
      <c r="CV124" s="187"/>
      <c r="CW124" s="187"/>
      <c r="CX124" s="187"/>
      <c r="CY124" s="187"/>
      <c r="CZ124" s="187"/>
      <c r="DA124" s="187"/>
      <c r="DB124" s="187"/>
      <c r="DC124" s="187"/>
      <c r="DD124" s="187"/>
      <c r="DE124" s="187"/>
      <c r="DF124" s="187"/>
      <c r="DG124" s="187"/>
      <c r="DH124" s="187"/>
      <c r="DI124" s="187"/>
      <c r="DJ124" s="187"/>
    </row>
    <row r="125" spans="1:114" s="8" customFormat="1" ht="24" customHeight="1">
      <c r="A125" s="90"/>
      <c r="B125" s="90"/>
      <c r="C125" s="90"/>
      <c r="D125" s="88"/>
      <c r="E125" s="89"/>
      <c r="F125" s="88"/>
      <c r="G125" s="88"/>
      <c r="H125" s="71"/>
      <c r="I125" s="71"/>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row>
    <row r="126" spans="1:114" s="8" customFormat="1" ht="24" customHeight="1">
      <c r="A126" s="89" t="s">
        <v>275</v>
      </c>
      <c r="B126" s="89"/>
      <c r="C126" s="89"/>
      <c r="D126" s="88"/>
      <c r="E126" s="89"/>
      <c r="F126" s="88"/>
      <c r="G126" s="89" t="s">
        <v>276</v>
      </c>
      <c r="H126" s="71"/>
      <c r="I126" s="71"/>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row>
    <row r="127" spans="1:9" ht="15.75" customHeight="1">
      <c r="A127" s="90"/>
      <c r="B127" s="90"/>
      <c r="C127" s="91"/>
      <c r="D127" s="92"/>
      <c r="E127" s="93"/>
      <c r="F127" s="90"/>
      <c r="G127" s="90"/>
      <c r="H127" s="73"/>
      <c r="I127" s="73"/>
    </row>
    <row r="128" spans="1:9" ht="11.25" customHeight="1">
      <c r="A128" s="90"/>
      <c r="B128" s="90"/>
      <c r="C128" s="91"/>
      <c r="D128" s="92"/>
      <c r="E128" s="93"/>
      <c r="F128" s="90"/>
      <c r="G128" s="90"/>
      <c r="H128" s="73"/>
      <c r="I128" s="73"/>
    </row>
    <row r="129" spans="1:9" ht="20.25" customHeight="1">
      <c r="A129" s="90" t="s">
        <v>35</v>
      </c>
      <c r="B129" s="90"/>
      <c r="C129" s="91"/>
      <c r="D129" s="92"/>
      <c r="E129" s="93"/>
      <c r="F129" s="90"/>
      <c r="G129" s="90" t="s">
        <v>106</v>
      </c>
      <c r="H129" s="73"/>
      <c r="I129" s="73"/>
    </row>
    <row r="130" spans="1:9" ht="20.25" customHeight="1">
      <c r="A130" s="90"/>
      <c r="B130" s="90"/>
      <c r="C130" s="91"/>
      <c r="D130" s="92"/>
      <c r="E130" s="93"/>
      <c r="F130" s="90"/>
      <c r="G130" s="90"/>
      <c r="H130" s="73"/>
      <c r="I130" s="73"/>
    </row>
    <row r="131" spans="1:9" ht="14.25" customHeight="1">
      <c r="A131" s="91"/>
      <c r="B131" s="92"/>
      <c r="C131" s="91"/>
      <c r="D131" s="92"/>
      <c r="E131" s="90"/>
      <c r="F131" s="92"/>
      <c r="G131" s="92"/>
      <c r="H131" s="73"/>
      <c r="I131" s="73"/>
    </row>
    <row r="132" spans="1:9" ht="20.25" customHeight="1">
      <c r="A132" s="91" t="s">
        <v>228</v>
      </c>
      <c r="B132" s="92"/>
      <c r="C132" s="91"/>
      <c r="D132" s="92"/>
      <c r="E132" s="90"/>
      <c r="F132" s="92"/>
      <c r="G132" s="92"/>
      <c r="H132" s="73"/>
      <c r="I132" s="73"/>
    </row>
    <row r="133" spans="1:9" ht="20.25" customHeight="1">
      <c r="A133" s="91" t="s">
        <v>229</v>
      </c>
      <c r="B133" s="92"/>
      <c r="C133" s="91"/>
      <c r="D133" s="92"/>
      <c r="E133" s="90"/>
      <c r="F133" s="92"/>
      <c r="G133" s="92"/>
      <c r="H133" s="73"/>
      <c r="I133" s="73"/>
    </row>
    <row r="134" spans="1:9" ht="12" customHeight="1">
      <c r="A134" s="2"/>
      <c r="B134" s="2"/>
      <c r="C134" s="6"/>
      <c r="D134" s="2"/>
      <c r="E134" s="2"/>
      <c r="F134" s="2"/>
      <c r="G134" s="2"/>
      <c r="H134" s="2"/>
      <c r="I134" s="2"/>
    </row>
    <row r="135" spans="1:9" ht="15">
      <c r="A135" s="2"/>
      <c r="B135" s="2"/>
      <c r="C135" s="6"/>
      <c r="D135" s="2"/>
      <c r="E135" s="2"/>
      <c r="F135" s="2"/>
      <c r="G135" s="2"/>
      <c r="H135" s="2"/>
      <c r="I135" s="2"/>
    </row>
    <row r="136" spans="1:9" ht="15">
      <c r="A136" s="3"/>
      <c r="B136" s="2"/>
      <c r="C136" s="6"/>
      <c r="D136" s="2"/>
      <c r="E136" s="2"/>
      <c r="F136" s="2"/>
      <c r="G136" s="2"/>
      <c r="H136" s="2"/>
      <c r="I136" s="2"/>
    </row>
  </sheetData>
  <sheetProtection/>
  <mergeCells count="51">
    <mergeCell ref="A85:A86"/>
    <mergeCell ref="B85:B86"/>
    <mergeCell ref="A88:A89"/>
    <mergeCell ref="B88:B89"/>
    <mergeCell ref="A91:A92"/>
    <mergeCell ref="A102:A103"/>
    <mergeCell ref="B102:B103"/>
    <mergeCell ref="C76:C77"/>
    <mergeCell ref="A82:A83"/>
    <mergeCell ref="B82:B83"/>
    <mergeCell ref="D82:D83"/>
    <mergeCell ref="E82:E83"/>
    <mergeCell ref="C83:C84"/>
    <mergeCell ref="C48:C49"/>
    <mergeCell ref="C51:C52"/>
    <mergeCell ref="C53:C54"/>
    <mergeCell ref="A55:A56"/>
    <mergeCell ref="B55:B56"/>
    <mergeCell ref="C64:C65"/>
    <mergeCell ref="A31:A32"/>
    <mergeCell ref="B31:B32"/>
    <mergeCell ref="C31:C33"/>
    <mergeCell ref="C36:C37"/>
    <mergeCell ref="C44:C45"/>
    <mergeCell ref="C46:C47"/>
    <mergeCell ref="A28:A29"/>
    <mergeCell ref="B28:B29"/>
    <mergeCell ref="C28:C29"/>
    <mergeCell ref="D23:D24"/>
    <mergeCell ref="E23:E24"/>
    <mergeCell ref="F23:F24"/>
    <mergeCell ref="H9:I10"/>
    <mergeCell ref="A12:A13"/>
    <mergeCell ref="B12:B13"/>
    <mergeCell ref="C12:C13"/>
    <mergeCell ref="A23:A24"/>
    <mergeCell ref="B23:B24"/>
    <mergeCell ref="C23:C24"/>
    <mergeCell ref="H23:H24"/>
    <mergeCell ref="I23:I24"/>
    <mergeCell ref="G23:G24"/>
    <mergeCell ref="G4:I4"/>
    <mergeCell ref="A5:I5"/>
    <mergeCell ref="A6:I6"/>
    <mergeCell ref="A7:I7"/>
    <mergeCell ref="A8:A11"/>
    <mergeCell ref="B8:E8"/>
    <mergeCell ref="F8:I8"/>
    <mergeCell ref="B9:C10"/>
    <mergeCell ref="D9:E10"/>
    <mergeCell ref="F9:G10"/>
  </mergeCells>
  <printOptions/>
  <pageMargins left="0.7874015748031497" right="0.5905511811023623" top="0.7480314960629921" bottom="0.7480314960629921"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2021-07-19T05:30:01Z</cp:lastPrinted>
  <dcterms:created xsi:type="dcterms:W3CDTF">2006-09-28T05:33:49Z</dcterms:created>
  <dcterms:modified xsi:type="dcterms:W3CDTF">2024-04-11T12:48:42Z</dcterms:modified>
  <cp:category/>
  <cp:version/>
  <cp:contentType/>
  <cp:contentStatus/>
</cp:coreProperties>
</file>